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Porto Alegre" sheetId="4" state="visible" r:id="rId6"/>
    <sheet name="Desl. Base Porto Alegre" sheetId="5" state="visible" r:id="rId7"/>
    <sheet name="Base Pelotas" sheetId="6" state="visible" r:id="rId8"/>
    <sheet name="Desl. Base Pelotas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Pelotas'!$B$2:$AW$23</definedName>
    <definedName function="false" hidden="false" localSheetId="3" name="_xlnm.Print_Area" vbProcedure="false">'Base Porto Alegre'!$B$2:$AW$25</definedName>
    <definedName function="false" hidden="false" localSheetId="13" name="_xlnm.Print_Area" vbProcedure="false">BDI!$B$1:$J$44</definedName>
    <definedName function="false" hidden="false" localSheetId="6" name="_xlnm.Print_Area" vbProcedure="false">'Desl. Base Pelotas'!$B$2:$M$48</definedName>
    <definedName function="false" hidden="false" localSheetId="4" name="_xlnm.Print_Area" vbProcedure="false">'Desl. Base Porto Alegre'!$B$2:$M$31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Unidades!$B$2:$H$26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<sst xmlns="http://schemas.openxmlformats.org/spreadsheetml/2006/main" count="788" uniqueCount="319">
  <si>
    <t xml:space="preserve">ANEXO I – B3</t>
  </si>
  <si>
    <t xml:space="preserve">PLANILHA DETALHADA DE FORMAÇÃO DE PREÇO</t>
  </si>
  <si>
    <t xml:space="preserve">POLO VII</t>
  </si>
  <si>
    <t xml:space="preserve">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</si>
  <si>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</si>
  <si>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</si>
  <si>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</si>
  <si>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</si>
  <si>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</si>
  <si>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</si>
  <si>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VII.</t>
  </si>
  <si>
    <t xml:space="preserve">Mês</t>
  </si>
  <si>
    <t xml:space="preserve">VALOR TOTAL DO ITEM 3: R$ 2.876.692,80 (Dois milhões e oitocentos e setenta e seis mil e seiscentos e noventa e dois reais e oitenta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</si>
  <si>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</si>
  <si>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</si>
  <si>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</si>
  <si>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</si>
  <si>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</si>
  <si>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</si>
  <si>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</si>
  <si>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</si>
  <si>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PORTO ALEGRE</t>
  </si>
  <si>
    <t xml:space="preserve">PELOTAS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</si>
  <si>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</si>
  <si>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</si>
  <si>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</si>
  <si>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</si>
  <si>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</si>
  <si>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</si>
  <si>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</si>
  <si>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</si>
  <si>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</si>
  <si>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</si>
  <si>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</si>
  <si>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</si>
  <si>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</si>
  <si>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</si>
  <si>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</si>
  <si>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</si>
  <si>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</si>
  <si>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</si>
  <si>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</si>
  <si>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</si>
  <si>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</si>
  <si>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</si>
  <si>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</si>
  <si>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</si>
  <si>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</si>
  <si>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</si>
  <si>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</si>
  <si>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</si>
  <si>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</si>
  <si>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</si>
  <si>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</si>
  <si>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</si>
  <si>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</si>
  <si>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</si>
  <si>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</si>
  <si>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</si>
  <si>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</si>
  <si>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</si>
  <si>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</si>
  <si>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</si>
  <si>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</si>
  <si>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</si>
  <si>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</si>
  <si>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</si>
  <si>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</si>
  <si>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</si>
  <si>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</si>
  <si>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</si>
  <si>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</si>
  <si>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</si>
  <si>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</si>
  <si>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</si>
  <si>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</si>
  <si>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</si>
  <si>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</si>
  <si>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</si>
  <si>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</si>
  <si>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</si>
  <si>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ESTEIO</t>
  </si>
  <si>
    <t xml:space="preserve">Custo por tipo de rotina</t>
  </si>
  <si>
    <t xml:space="preserve">APS CACHOEIRINHA</t>
  </si>
  <si>
    <t xml:space="preserve">Custo Anual por tipo de rotina</t>
  </si>
  <si>
    <t xml:space="preserve">APS GRAVATAÍ</t>
  </si>
  <si>
    <t xml:space="preserve">APS GUAÍBA</t>
  </si>
  <si>
    <t xml:space="preserve">CEDOCPREV CANOAS</t>
  </si>
  <si>
    <t xml:space="preserve">Custo Anual Preventiva</t>
  </si>
  <si>
    <t xml:space="preserve">DEPÓSITO ESTEIO</t>
  </si>
  <si>
    <t xml:space="preserve">GEX/APS CANOAS</t>
  </si>
  <si>
    <t xml:space="preserve">Custo Anual Corretiva</t>
  </si>
  <si>
    <t xml:space="preserve">APS ALVORADA</t>
  </si>
  <si>
    <t xml:space="preserve">APS PORTO ALEGRE- CENTRO</t>
  </si>
  <si>
    <t xml:space="preserve">Custo Anual Manutenção</t>
  </si>
  <si>
    <t xml:space="preserve">APS PORTO ALEGRE-PARTENON</t>
  </si>
  <si>
    <t xml:space="preserve">APS PORTO ALEGRE-SUL</t>
  </si>
  <si>
    <t xml:space="preserve">CEDOCPREV PORTO ALEGRE</t>
  </si>
  <si>
    <t xml:space="preserve">GEX PORTO ALEGRE</t>
  </si>
  <si>
    <t xml:space="preserve">IPASE PORTO ALEGRE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</si>
  <si>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</si>
  <si>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</si>
  <si>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</si>
  <si>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</si>
  <si>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</si>
  <si>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</si>
  <si>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</si>
  <si>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</si>
  <si>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</si>
  <si>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</si>
  <si>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</si>
  <si>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</si>
  <si>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</si>
  <si>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</si>
  <si>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</si>
  <si>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</si>
  <si>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</si>
  <si>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</si>
  <si>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</si>
  <si>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</si>
  <si>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</si>
  <si>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</si>
  <si>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</si>
  <si>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</si>
  <si>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</si>
  <si>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</si>
  <si>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</si>
  <si>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</si>
  <si>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</si>
  <si>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</si>
  <si>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</si>
  <si>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</si>
  <si>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APS CAMAQUÃ</t>
  </si>
  <si>
    <t xml:space="preserve">APS CAPÃO DO LEÃO</t>
  </si>
  <si>
    <t xml:space="preserve">APS JAGUARÃO</t>
  </si>
  <si>
    <t xml:space="preserve">APS RIO GRANDE</t>
  </si>
  <si>
    <t xml:space="preserve">APS SANTA VITÓRIA DO PALMAR</t>
  </si>
  <si>
    <t xml:space="preserve">APS SÃO JOSÉ DO NORTE</t>
  </si>
  <si>
    <t xml:space="preserve">APS SÃO LOURENÇO DO SUL</t>
  </si>
  <si>
    <t xml:space="preserve">APS TAPES</t>
  </si>
  <si>
    <t xml:space="preserve">GEX/APS PELOTAS</t>
  </si>
  <si>
    <t xml:space="preserve">Pedágio (ida e volta)</t>
  </si>
  <si>
    <t xml:space="preserve">Pedágios</t>
  </si>
  <si>
    <t xml:space="preserve">Preços pesquisados em 20/10/2023.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</si>
  <si>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</si>
  <si>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</si>
  <si>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</si>
  <si>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</si>
  <si>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Dezembro/2024.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</si>
  <si>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</si>
  <si>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</si>
  <si>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</si>
  <si>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</si>
  <si>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</si>
  <si>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</si>
  <si>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</si>
  <si>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</si>
  <si>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Rio Grande do Sul</t>
  </si>
  <si>
    <t xml:space="preserve">Tipo</t>
  </si>
  <si>
    <t xml:space="preserve">CHOR - CUSTOS HORÁRIOS DE MÁQUINAS E EQUIPAMENTOS</t>
  </si>
  <si>
    <t xml:space="preserve">Valor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</si>
  <si>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</si>
  <si>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</si>
  <si>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</si>
  <si>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</si>
  <si>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</si>
  <si>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</si>
  <si>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</si>
  <si>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</si>
  <si>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</si>
  <si>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</si>
  <si>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</si>
  <si>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</si>
  <si>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</si>
  <si>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</si>
  <si>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</si>
  <si>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</si>
  <si>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</si>
  <si>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RIO GRANDE DO SUL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</si>
  <si>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</si>
  <si>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</si>
  <si>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</si>
  <si>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</si>
  <si>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</si>
  <si>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</si>
  <si>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</si>
  <si>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21: Encargos Sociais – Rio Grande do Sul</t>
  </si>
  <si>
    <t xml:space="preserve">Horista Desonerado</t>
  </si>
  <si>
    <t xml:space="preserve">Horista Não Desonerado</t>
  </si>
  <si>
    <t xml:space="preserve">Cálculo custo do funcionário</t>
  </si>
  <si>
    <r>
      <rPr>
        <sz val="11"/>
        <color rgb="FF00000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</si>
  <si>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</si>
  <si>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</si>
  <si>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</si>
  <si>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</si>
  <si>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</si>
  <si>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</si>
  <si>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Valor Unitário Desonerado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</si>
  <si>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</si>
  <si>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</si>
  <si>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</si>
  <si>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</si>
  <si>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</si>
  <si>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</si>
  <si>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</si>
  <si>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</si>
  <si>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</si>
  <si>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</si>
  <si>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</si>
  <si>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</si>
  <si>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</si>
  <si>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</si>
  <si>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</si>
  <si>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</si>
  <si>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</si>
  <si>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</si>
  <si>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Oficial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</si>
  <si>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</si>
  <si>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RS002811/2024</t>
    </r>
  </si>
  <si>
    <t xml:space="preserve">Abrangência</t>
  </si>
  <si>
    <t xml:space="preserve">Trabalhadores das indústrias da construção civil de Porto Alegre/RS e região</t>
  </si>
  <si>
    <t xml:space="preserve">Salário base (SB)</t>
  </si>
  <si>
    <t xml:space="preserve">Encargos Sociais (**) - (ES)
Apêndice 21: Encargos Sociais – Rio Grande do Sul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</si>
  <si>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</si>
  <si>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</si>
  <si>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</si>
  <si>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</si>
  <si>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</si>
  <si>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</si>
  <si>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</si>
  <si>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</si>
  <si>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</si>
  <si>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</si>
  <si>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</si>
  <si>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</si>
  <si>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</si>
  <si>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</si>
  <si>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</si>
  <si>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t xml:space="preserve">OFICIAL DE MANUTENÇÃO PREDIAL (OFICIAL/PROFISSIONAL CCT RS002811/2024)</t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</si>
  <si>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</si>
  <si>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</si>
  <si>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</si>
  <si>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</si>
  <si>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</si>
  <si>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</si>
  <si>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</si>
  <si>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</si>
  <si>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</si>
  <si>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</si>
  <si>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</si>
  <si>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</si>
  <si>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</si>
  <si>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</si>
  <si>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</si>
  <si>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</si>
  <si>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CANOAS</t>
  </si>
  <si>
    <t xml:space="preserve">Av. Gen. Flores da Cunha, 4001 - Vila Bom Princípio</t>
  </si>
  <si>
    <t xml:space="preserve">NÃO</t>
  </si>
  <si>
    <t xml:space="preserve">Rua General José Machado Lopes, 256, Centro</t>
  </si>
  <si>
    <t xml:space="preserve">SIM</t>
  </si>
  <si>
    <t xml:space="preserve">Rua Coronel Sarmento, 1321, Centro</t>
  </si>
  <si>
    <t xml:space="preserve">Rua Sete de Setembro, 36, Centro</t>
  </si>
  <si>
    <t xml:space="preserve">Rua Paes Leme, 300, Rio Branco</t>
  </si>
  <si>
    <t xml:space="preserve">Rua Olga Jancowski, 68, Três Portos</t>
  </si>
  <si>
    <t xml:space="preserve">Av. Inconfidência, 778, Marechal Rondon</t>
  </si>
  <si>
    <t xml:space="preserve">Av. Maringá, 1201</t>
  </si>
  <si>
    <t xml:space="preserve">Avenida Borges de Medeiros, nº 530, Centro</t>
  </si>
  <si>
    <t xml:space="preserve">Av. Bento Gonçalves, 867</t>
  </si>
  <si>
    <t xml:space="preserve">Estrada Vila Maria, 265</t>
  </si>
  <si>
    <t xml:space="preserve">Rua Marechal Andrea, 351 / Boa vista</t>
  </si>
  <si>
    <t xml:space="preserve">Rua Jerônimo Coelho, 127</t>
  </si>
  <si>
    <t xml:space="preserve">Travessa Mário Cinco de Paus, 20</t>
  </si>
  <si>
    <t xml:space="preserve">Av. Antonio Duro, 1130, Olaria</t>
  </si>
  <si>
    <t xml:space="preserve">Av. Narciso Silva, 2220, Centro</t>
  </si>
  <si>
    <t xml:space="preserve">Av. 27 de Janeiro, 1556, Centro</t>
  </si>
  <si>
    <t xml:space="preserve">Rua General Bacelar, 97, Centro</t>
  </si>
  <si>
    <t xml:space="preserve">Rua João de Oliveira Rodrigues, 1797, Centro</t>
  </si>
  <si>
    <t xml:space="preserve">Rua Eng. Fernando Duprat da Silva, 607, Centro</t>
  </si>
  <si>
    <t xml:space="preserve">Rua Marechal Floriano, 2174, Centro</t>
  </si>
  <si>
    <t xml:space="preserve">Rua Coronel Pacheco, 1090</t>
  </si>
  <si>
    <t xml:space="preserve">Rua Almirante Barroso, 1883,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</si>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</sst>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0.00%"/>
    <numFmt numFmtId="169" formatCode="General"/>
    <numFmt numFmtId="170" formatCode="#,##0.00"/>
    <numFmt numFmtId="171" formatCode="0.00"/>
    <numFmt numFmtId="172" formatCode="0.0000%"/>
    <numFmt numFmtId="173" formatCode="#,##0.00_);[RED]\(#,##0.00\)"/>
    <numFmt numFmtId="174" formatCode="#,##0.00\ ;[RED]\(#,##0.00\)"/>
    <numFmt numFmtId="175" formatCode="#,##0.0"/>
    <numFmt numFmtId="176" formatCode="#,##0"/>
    <numFmt numFmtId="177" formatCode="_-* #,##0.00_-;\-* #,##0.00_-;_-* \-??_-;_-@_-"/>
    <numFmt numFmtId="178" formatCode="0"/>
    <numFmt numFmtId="179" formatCode="@"/>
    <numFmt numFmtId="180" formatCode="mm/yy"/>
    <numFmt numFmtId="181" formatCode="&quot;R$ &quot;#,##0.00"/>
    <numFmt numFmtId="182" formatCode="d/m/yyyy"/>
    <numFmt numFmtId="183" formatCode="&quot;R$ &quot;#,##0.00;[RED]&quot;-R$ &quot;#,##0.00"/>
  </numFmts>
  <fonts count="3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sz val="13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8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2" tint="-0.15"/>
        <bgColor rgb="FFC9C9C9"/>
      </patternFill>
    </fill>
    <fill>
      <patternFill patternType="solid">
        <fgColor theme="6" tint="0.3998"/>
        <bgColor rgb="FFC5C3C3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9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5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3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1" fontId="12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1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5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2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12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1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0" fontId="12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1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1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1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20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22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4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2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C3C3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C9C9C9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>
      <xdr:nvSpPr>
        <xdr:cNvPr id="0" name="CustomShape 1"/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20880</xdr:rowOff>
    </xdr:from>
    <xdr:to>
      <xdr:col>2</xdr:col>
      <xdr:colOff>2772720</xdr:colOff>
      <xdr:row>21</xdr:row>
      <xdr:rowOff>821160</xdr:rowOff>
    </xdr:to>
    <xdr:pic>
      <xdr:nvPicPr>
        <xdr:cNvPr id="2" name="Figura 1" descr=""/>
        <xdr:cNvPicPr/>
      </xdr:nvPicPr>
      <xdr:blipFill>
        <a:blip r:embed="rId1"/>
        <a:srcRect l="7851" t="45769" r="13913" b="37680"/>
        <a:stretch/>
      </xdr:blipFill>
      <xdr:spPr>
        <a:xfrm>
          <a:off x="435600" y="4059360"/>
          <a:ext cx="6433560" cy="800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142560</xdr:colOff>
      <xdr:row>25</xdr:row>
      <xdr:rowOff>61560</xdr:rowOff>
    </xdr:from>
    <xdr:to>
      <xdr:col>2</xdr:col>
      <xdr:colOff>2702520</xdr:colOff>
      <xdr:row>29</xdr:row>
      <xdr:rowOff>42480</xdr:rowOff>
    </xdr:to>
    <xdr:pic>
      <xdr:nvPicPr>
        <xdr:cNvPr id="3" name="Figura 2" descr=""/>
        <xdr:cNvPicPr/>
      </xdr:nvPicPr>
      <xdr:blipFill>
        <a:blip r:embed="rId2"/>
        <a:srcRect l="17758" t="51097" r="20982" b="38294"/>
        <a:stretch/>
      </xdr:blipFill>
      <xdr:spPr>
        <a:xfrm>
          <a:off x="578160" y="6233760"/>
          <a:ext cx="6220800" cy="628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I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10" t="s">
        <v>9</v>
      </c>
    </row>
    <row r="11" customFormat="false" ht="81" hidden="false" customHeight="true" outlineLevel="0" collapsed="false">
      <c r="B11" s="11" t="n">
        <v>3</v>
      </c>
      <c r="C11" s="12" t="s">
        <v>10</v>
      </c>
      <c r="D11" s="13" t="s">
        <v>11</v>
      </c>
      <c r="E11" s="13" t="n">
        <v>24</v>
      </c>
      <c r="F11" s="14" t="n">
        <f aca="false">ROUND(Resumo!D7+Resumo!F7,2)</f>
        <v>119862.2</v>
      </c>
      <c r="G11" s="15" t="n">
        <f aca="false">F11*E11</f>
        <v>2876692.8</v>
      </c>
      <c r="I11" s="16"/>
    </row>
    <row r="12" customFormat="false" ht="42" hidden="false" customHeight="true" outlineLevel="0" collapsed="false">
      <c r="B12" s="17" t="s">
        <v>12</v>
      </c>
      <c r="C12" s="17"/>
      <c r="D12" s="17"/>
      <c r="E12" s="17"/>
      <c r="F12" s="17"/>
      <c r="G12" s="17"/>
    </row>
    <row r="14" customFormat="false" ht="13.5" hidden="false" customHeight="false" outlineLevel="0" collapsed="false"/>
    <row r="15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ColWidth="8.125" defaultRowHeight="12.75" zeroHeight="false" outlineLevelRow="0" outlineLevelCol="0"/>
  <cols>
    <col collapsed="false" customWidth="true" hidden="false" outlineLevel="0" max="1" min="1" style="186" width="5"/>
    <col collapsed="false" customWidth="true" hidden="false" outlineLevel="0" max="2" min="2" style="186" width="2.88"/>
    <col collapsed="false" customWidth="true" hidden="false" outlineLevel="0" max="3" min="3" style="186" width="11.75"/>
    <col collapsed="false" customWidth="true" hidden="false" outlineLevel="0" max="4" min="4" style="186" width="57.75"/>
    <col collapsed="false" customWidth="true" hidden="false" outlineLevel="0" max="5" min="5" style="186" width="28.88"/>
    <col collapsed="false" customWidth="true" hidden="false" outlineLevel="0" max="6" min="6" style="186" width="9.62"/>
    <col collapsed="false" customWidth="true" hidden="false" outlineLevel="0" max="7" min="7" style="186" width="13.25"/>
    <col collapsed="false" customWidth="true" hidden="false" outlineLevel="0" max="8" min="8" style="186" width="11.5"/>
    <col collapsed="false" customWidth="true" hidden="false" outlineLevel="0" max="9" min="9" style="186" width="13.5"/>
    <col collapsed="false" customWidth="true" hidden="false" outlineLevel="0" max="1026" min="10" style="186" width="8.25"/>
    <col collapsed="false" customWidth="false" hidden="false" outlineLevel="0" max="16384" min="1027" style="186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7" t="s">
        <v>193</v>
      </c>
      <c r="C2" s="187"/>
      <c r="D2" s="187"/>
      <c r="E2" s="187"/>
      <c r="F2" s="187"/>
      <c r="G2" s="187"/>
      <c r="H2" s="187"/>
      <c r="I2" s="187"/>
    </row>
    <row r="3" customFormat="false" ht="19.5" hidden="false" customHeight="true" outlineLevel="0" collapsed="false"/>
    <row r="4" customFormat="false" ht="16.5" hidden="false" customHeight="true" outlineLevel="0" collapsed="false">
      <c r="B4" s="188" t="s">
        <v>194</v>
      </c>
      <c r="C4" s="188"/>
      <c r="D4" s="188"/>
      <c r="E4" s="188"/>
      <c r="F4" s="188"/>
      <c r="G4" s="188"/>
      <c r="H4" s="188"/>
      <c r="I4" s="188"/>
    </row>
    <row r="5" customFormat="false" ht="16.5" hidden="false" customHeight="true" outlineLevel="0" collapsed="false">
      <c r="B5" s="189" t="s">
        <v>151</v>
      </c>
      <c r="C5" s="189"/>
      <c r="D5" s="190" t="n">
        <v>91677</v>
      </c>
      <c r="E5" s="190"/>
      <c r="F5" s="190"/>
      <c r="G5" s="190"/>
      <c r="H5" s="190"/>
      <c r="I5" s="190"/>
    </row>
    <row r="6" customFormat="false" ht="16.5" hidden="false" customHeight="true" outlineLevel="0" collapsed="false">
      <c r="B6" s="189" t="s">
        <v>122</v>
      </c>
      <c r="C6" s="189"/>
      <c r="D6" s="190" t="s">
        <v>195</v>
      </c>
      <c r="E6" s="190"/>
      <c r="F6" s="190"/>
      <c r="G6" s="190"/>
      <c r="H6" s="190"/>
      <c r="I6" s="190"/>
    </row>
    <row r="7" customFormat="false" ht="16.5" hidden="false" customHeight="true" outlineLevel="0" collapsed="false">
      <c r="B7" s="189" t="s">
        <v>154</v>
      </c>
      <c r="C7" s="189"/>
      <c r="D7" s="191" t="s">
        <v>155</v>
      </c>
      <c r="E7" s="191"/>
      <c r="F7" s="191"/>
      <c r="G7" s="191"/>
      <c r="H7" s="191"/>
      <c r="I7" s="191"/>
    </row>
    <row r="8" customFormat="false" ht="16.5" hidden="false" customHeight="true" outlineLevel="0" collapsed="false">
      <c r="B8" s="189" t="s">
        <v>156</v>
      </c>
      <c r="C8" s="189"/>
      <c r="D8" s="190" t="s">
        <v>178</v>
      </c>
      <c r="E8" s="190"/>
      <c r="F8" s="190"/>
      <c r="G8" s="190"/>
      <c r="H8" s="190"/>
      <c r="I8" s="190"/>
    </row>
    <row r="9" customFormat="false" ht="16.5" hidden="false" customHeight="true" outlineLevel="0" collapsed="false">
      <c r="B9" s="189" t="s">
        <v>158</v>
      </c>
      <c r="C9" s="189"/>
      <c r="D9" s="190" t="s">
        <v>196</v>
      </c>
      <c r="E9" s="190"/>
      <c r="F9" s="190"/>
      <c r="G9" s="190"/>
      <c r="H9" s="190"/>
      <c r="I9" s="190"/>
    </row>
    <row r="10" customFormat="false" ht="16.5" hidden="false" customHeight="true" outlineLevel="0" collapsed="false">
      <c r="B10" s="189" t="s">
        <v>123</v>
      </c>
      <c r="C10" s="189"/>
      <c r="D10" s="190" t="s">
        <v>166</v>
      </c>
      <c r="E10" s="190"/>
      <c r="F10" s="190"/>
      <c r="G10" s="190"/>
      <c r="H10" s="190"/>
      <c r="I10" s="190"/>
    </row>
    <row r="11" customFormat="false" ht="23.25" hidden="false" customHeight="true" outlineLevel="0" collapsed="false">
      <c r="B11" s="192" t="s">
        <v>160</v>
      </c>
      <c r="C11" s="192"/>
      <c r="D11" s="193" t="n">
        <f aca="false">SUM(I14:I19)</f>
        <v>154.024656</v>
      </c>
      <c r="E11" s="193"/>
      <c r="F11" s="193"/>
      <c r="G11" s="193"/>
      <c r="H11" s="193"/>
      <c r="I11" s="193"/>
    </row>
    <row r="12" customFormat="false" ht="15.75" hidden="false" customHeight="true" outlineLevel="0" collapsed="false">
      <c r="B12" s="194"/>
      <c r="C12" s="194"/>
      <c r="D12" s="195"/>
      <c r="E12" s="195"/>
      <c r="F12" s="195"/>
      <c r="G12" s="195"/>
      <c r="H12" s="195"/>
      <c r="I12" s="195"/>
    </row>
    <row r="13" customFormat="false" ht="30" hidden="false" customHeight="false" outlineLevel="0" collapsed="false">
      <c r="B13" s="162"/>
      <c r="C13" s="162" t="s">
        <v>161</v>
      </c>
      <c r="D13" s="162" t="s">
        <v>122</v>
      </c>
      <c r="E13" s="162" t="s">
        <v>158</v>
      </c>
      <c r="F13" s="162" t="s">
        <v>123</v>
      </c>
      <c r="G13" s="162" t="s">
        <v>197</v>
      </c>
      <c r="H13" s="162" t="s">
        <v>162</v>
      </c>
      <c r="I13" s="162" t="s">
        <v>160</v>
      </c>
    </row>
    <row r="14" customFormat="false" ht="19.5" hidden="false" customHeight="true" outlineLevel="0" collapsed="false">
      <c r="B14" s="196" t="s">
        <v>198</v>
      </c>
      <c r="C14" s="163" t="s">
        <v>199</v>
      </c>
      <c r="D14" s="163" t="s">
        <v>200</v>
      </c>
      <c r="E14" s="163" t="s">
        <v>201</v>
      </c>
      <c r="F14" s="163" t="s">
        <v>166</v>
      </c>
      <c r="G14" s="197" t="n">
        <v>2.45</v>
      </c>
      <c r="H14" s="198" t="n">
        <v>1</v>
      </c>
      <c r="I14" s="199" t="n">
        <f aca="false">G14*H14</f>
        <v>2.45</v>
      </c>
      <c r="J14" s="200"/>
      <c r="K14" s="200"/>
    </row>
    <row r="15" customFormat="false" ht="19.5" hidden="false" customHeight="true" outlineLevel="0" collapsed="false">
      <c r="B15" s="196" t="s">
        <v>198</v>
      </c>
      <c r="C15" s="196" t="s">
        <v>202</v>
      </c>
      <c r="D15" s="196" t="s">
        <v>180</v>
      </c>
      <c r="E15" s="196" t="s">
        <v>203</v>
      </c>
      <c r="F15" s="196" t="s">
        <v>166</v>
      </c>
      <c r="G15" s="198" t="n">
        <f aca="false">'Custo Eng. Eletricista'!C13</f>
        <v>149.284656</v>
      </c>
      <c r="H15" s="198" t="n">
        <v>1</v>
      </c>
      <c r="I15" s="199" t="n">
        <f aca="false">G15*H15</f>
        <v>149.284656</v>
      </c>
      <c r="J15" s="200"/>
      <c r="K15" s="200"/>
    </row>
    <row r="16" customFormat="false" ht="30" hidden="false" customHeight="true" outlineLevel="0" collapsed="false">
      <c r="B16" s="196" t="s">
        <v>198</v>
      </c>
      <c r="C16" s="196" t="s">
        <v>204</v>
      </c>
      <c r="D16" s="196" t="s">
        <v>205</v>
      </c>
      <c r="E16" s="196" t="s">
        <v>206</v>
      </c>
      <c r="F16" s="196" t="s">
        <v>166</v>
      </c>
      <c r="G16" s="198" t="n">
        <v>1.43</v>
      </c>
      <c r="H16" s="198" t="n">
        <v>1</v>
      </c>
      <c r="I16" s="199" t="n">
        <f aca="false">G16*H16</f>
        <v>1.43</v>
      </c>
      <c r="J16" s="200"/>
      <c r="K16" s="200"/>
    </row>
    <row r="17" customFormat="false" ht="30" hidden="false" customHeight="true" outlineLevel="0" collapsed="false">
      <c r="B17" s="196" t="s">
        <v>198</v>
      </c>
      <c r="C17" s="196" t="s">
        <v>207</v>
      </c>
      <c r="D17" s="196" t="s">
        <v>208</v>
      </c>
      <c r="E17" s="196" t="s">
        <v>209</v>
      </c>
      <c r="F17" s="196" t="s">
        <v>166</v>
      </c>
      <c r="G17" s="198" t="n">
        <v>0.08</v>
      </c>
      <c r="H17" s="198" t="n">
        <v>1</v>
      </c>
      <c r="I17" s="199" t="n">
        <f aca="false">G17*H17</f>
        <v>0.08</v>
      </c>
      <c r="J17" s="200"/>
      <c r="K17" s="200"/>
    </row>
    <row r="18" customFormat="false" ht="30" hidden="false" customHeight="true" outlineLevel="0" collapsed="false">
      <c r="B18" s="196" t="s">
        <v>198</v>
      </c>
      <c r="C18" s="196" t="s">
        <v>210</v>
      </c>
      <c r="D18" s="196" t="s">
        <v>211</v>
      </c>
      <c r="E18" s="196" t="s">
        <v>212</v>
      </c>
      <c r="F18" s="196" t="s">
        <v>166</v>
      </c>
      <c r="G18" s="198" t="n">
        <v>0.01</v>
      </c>
      <c r="H18" s="198" t="n">
        <v>1</v>
      </c>
      <c r="I18" s="199" t="n">
        <f aca="false">G18*H18</f>
        <v>0.01</v>
      </c>
      <c r="J18" s="200"/>
      <c r="K18" s="200"/>
    </row>
    <row r="19" customFormat="false" ht="30" hidden="false" customHeight="true" outlineLevel="0" collapsed="false">
      <c r="B19" s="196" t="s">
        <v>198</v>
      </c>
      <c r="C19" s="196" t="s">
        <v>213</v>
      </c>
      <c r="D19" s="196" t="s">
        <v>214</v>
      </c>
      <c r="E19" s="196" t="s">
        <v>212</v>
      </c>
      <c r="F19" s="196" t="s">
        <v>166</v>
      </c>
      <c r="G19" s="198" t="n">
        <v>0.77</v>
      </c>
      <c r="H19" s="198" t="n">
        <v>1</v>
      </c>
      <c r="I19" s="199" t="n">
        <f aca="false">G19*H19</f>
        <v>0.77</v>
      </c>
      <c r="J19" s="200"/>
      <c r="K19" s="200"/>
    </row>
    <row r="20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4" activeCellId="0" sqref="C14"/>
    </sheetView>
  </sheetViews>
  <sheetFormatPr defaultColWidth="10.125" defaultRowHeight="12.75" zeroHeight="false" outlineLevelRow="0" outlineLevelCol="0"/>
  <cols>
    <col collapsed="false" customWidth="true" hidden="false" outlineLevel="0" max="1" min="1" style="169" width="5.62"/>
    <col collapsed="false" customWidth="true" hidden="false" outlineLevel="0" max="2" min="2" style="169" width="47.25"/>
    <col collapsed="false" customWidth="true" hidden="false" outlineLevel="0" max="3" min="3" style="169" width="37.12"/>
    <col collapsed="false" customWidth="true" hidden="false" outlineLevel="0" max="4" min="4" style="169" width="29.88"/>
    <col collapsed="false" customWidth="true" hidden="false" outlineLevel="0" max="5" min="5" style="169" width="14.25"/>
    <col collapsed="false" customWidth="false" hidden="false" outlineLevel="0" max="16384" min="6" style="169" width="10.12"/>
  </cols>
  <sheetData>
    <row r="1" customFormat="false" ht="15" hidden="false" customHeight="true" outlineLevel="0" collapsed="false"/>
    <row r="2" customFormat="false" ht="12.75" hidden="false" customHeight="false" outlineLevel="0" collapsed="false">
      <c r="C2" s="201" t="s">
        <v>178</v>
      </c>
    </row>
    <row r="3" customFormat="false" ht="12.75" hidden="false" customHeight="false" outlineLevel="0" collapsed="false">
      <c r="B3" s="171" t="s">
        <v>215</v>
      </c>
      <c r="C3" s="201" t="s">
        <v>216</v>
      </c>
    </row>
    <row r="4" customFormat="false" ht="15" hidden="false" customHeight="false" outlineLevel="0" collapsed="false">
      <c r="B4" s="171" t="s">
        <v>217</v>
      </c>
      <c r="C4" s="202" t="s">
        <v>218</v>
      </c>
    </row>
    <row r="5" customFormat="false" ht="14.25" hidden="false" customHeight="false" outlineLevel="0" collapsed="false">
      <c r="B5" s="171" t="s">
        <v>183</v>
      </c>
      <c r="C5" s="202" t="n">
        <v>45444</v>
      </c>
    </row>
    <row r="6" customFormat="false" ht="25.5" hidden="false" customHeight="false" outlineLevel="0" collapsed="false">
      <c r="B6" s="171" t="s">
        <v>219</v>
      </c>
      <c r="C6" s="172" t="s">
        <v>220</v>
      </c>
    </row>
    <row r="7" customFormat="false" ht="12.75" hidden="false" customHeight="false" outlineLevel="0" collapsed="false">
      <c r="B7" s="171" t="s">
        <v>221</v>
      </c>
      <c r="C7" s="173" t="n">
        <v>2228.6</v>
      </c>
    </row>
    <row r="8" customFormat="false" ht="12.75" hidden="false" customHeight="false" outlineLevel="0" collapsed="false">
      <c r="B8" s="203"/>
      <c r="C8" s="204"/>
    </row>
    <row r="9" customFormat="false" ht="25.5" hidden="false" customHeight="false" outlineLevel="0" collapsed="false">
      <c r="B9" s="176" t="s">
        <v>222</v>
      </c>
      <c r="C9" s="171"/>
    </row>
    <row r="10" customFormat="false" ht="14.25" hidden="false" customHeight="false" outlineLevel="0" collapsed="false">
      <c r="B10" s="171" t="s">
        <v>187</v>
      </c>
      <c r="C10" s="178" t="n">
        <v>0.9022</v>
      </c>
    </row>
    <row r="11" customFormat="false" ht="14.25" hidden="false" customHeight="false" outlineLevel="0" collapsed="false">
      <c r="B11" s="171" t="s">
        <v>223</v>
      </c>
      <c r="C11" s="178" t="n">
        <v>0.5186</v>
      </c>
    </row>
    <row r="12" customFormat="false" ht="14.25" hidden="false" customHeight="false" outlineLevel="0" collapsed="false">
      <c r="B12" s="171" t="s">
        <v>188</v>
      </c>
      <c r="C12" s="178" t="n">
        <v>1.1284</v>
      </c>
    </row>
    <row r="13" customFormat="false" ht="14.25" hidden="false" customHeight="false" outlineLevel="0" collapsed="false">
      <c r="B13" s="171" t="s">
        <v>224</v>
      </c>
      <c r="C13" s="178" t="n">
        <v>0.6995</v>
      </c>
    </row>
    <row r="14" customFormat="false" ht="13.5" hidden="false" customHeight="true" outlineLevel="0" collapsed="false">
      <c r="B14" s="203"/>
      <c r="C14" s="203"/>
    </row>
    <row r="15" customFormat="false" ht="12.75" hidden="false" customHeight="false" outlineLevel="0" collapsed="false">
      <c r="B15" s="179" t="s">
        <v>225</v>
      </c>
      <c r="C15" s="180"/>
    </row>
    <row r="16" customFormat="false" ht="15.75" hidden="false" customHeight="false" outlineLevel="0" collapsed="false">
      <c r="B16" s="181" t="s">
        <v>226</v>
      </c>
      <c r="C16" s="180" t="n">
        <f aca="false">C7*(1+C11)</f>
        <v>3384.35196</v>
      </c>
      <c r="D16" s="205"/>
      <c r="E16" s="205"/>
    </row>
    <row r="17" customFormat="false" ht="15.75" hidden="false" customHeight="false" outlineLevel="0" collapsed="false">
      <c r="B17" s="181" t="s">
        <v>227</v>
      </c>
      <c r="C17" s="180" t="n">
        <f aca="false">C7*(1+C13)</f>
        <v>3787.5057</v>
      </c>
      <c r="D17" s="205"/>
      <c r="E17" s="205"/>
    </row>
    <row r="18" customFormat="false" ht="15.75" hidden="false" customHeight="false" outlineLevel="0" collapsed="false">
      <c r="B18" s="181" t="s">
        <v>228</v>
      </c>
      <c r="C18" s="206" t="n">
        <f aca="false">C16*(1+C10)/(220*(1+C11))</f>
        <v>19.269286</v>
      </c>
      <c r="D18" s="207"/>
      <c r="E18" s="205"/>
    </row>
    <row r="19" customFormat="false" ht="15.75" hidden="false" customHeight="false" outlineLevel="0" collapsed="false">
      <c r="B19" s="181" t="s">
        <v>229</v>
      </c>
      <c r="C19" s="206" t="n">
        <f aca="false">(C17*(1+C12)/(220*(1+C13)))</f>
        <v>21.560692</v>
      </c>
      <c r="D19" s="207"/>
      <c r="E19" s="205"/>
    </row>
    <row r="21" customFormat="false" ht="12.75" hidden="false" customHeight="false" outlineLevel="0" collapsed="false">
      <c r="B21" s="169" t="s">
        <v>230</v>
      </c>
    </row>
    <row r="22" customFormat="false" ht="69.75" hidden="false" customHeight="true" outlineLevel="0" collapsed="false"/>
    <row r="23" customFormat="false" ht="34.5" hidden="false" customHeight="true" outlineLevel="0" collapsed="false">
      <c r="B23" s="185" t="s">
        <v>192</v>
      </c>
      <c r="C23" s="185"/>
    </row>
    <row r="24" customFormat="false" ht="33.75" hidden="false" customHeight="true" outlineLevel="0" collapsed="false">
      <c r="B24" s="185" t="s">
        <v>231</v>
      </c>
      <c r="C24" s="185"/>
    </row>
    <row r="25" customFormat="false" ht="30" hidden="false" customHeight="true" outlineLevel="0" collapsed="false">
      <c r="B25" s="185" t="s">
        <v>232</v>
      </c>
      <c r="C25" s="185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ColWidth="8.125" defaultRowHeight="12.75" zeroHeight="false" outlineLevelRow="0" outlineLevelCol="0"/>
  <cols>
    <col collapsed="false" customWidth="true" hidden="false" outlineLevel="0" max="1" min="1" style="186" width="5.62"/>
    <col collapsed="false" customWidth="true" hidden="false" outlineLevel="0" max="2" min="2" style="186" width="2.88"/>
    <col collapsed="false" customWidth="true" hidden="false" outlineLevel="0" max="3" min="3" style="186" width="11.75"/>
    <col collapsed="false" customWidth="true" hidden="false" outlineLevel="0" max="4" min="4" style="186" width="57.75"/>
    <col collapsed="false" customWidth="true" hidden="false" outlineLevel="0" max="5" min="5" style="186" width="28.88"/>
    <col collapsed="false" customWidth="true" hidden="false" outlineLevel="0" max="6" min="6" style="186" width="9.62"/>
    <col collapsed="false" customWidth="true" hidden="false" outlineLevel="0" max="7" min="7" style="186" width="13.25"/>
    <col collapsed="false" customWidth="true" hidden="false" outlineLevel="0" max="8" min="8" style="186" width="11.5"/>
    <col collapsed="false" customWidth="true" hidden="false" outlineLevel="0" max="9" min="9" style="186" width="13.5"/>
    <col collapsed="false" customWidth="true" hidden="false" outlineLevel="0" max="1026" min="10" style="186" width="8.25"/>
    <col collapsed="false" customWidth="false" hidden="false" outlineLevel="0" max="16384" min="1027" style="186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7" t="s">
        <v>233</v>
      </c>
      <c r="C2" s="187"/>
      <c r="D2" s="187"/>
      <c r="E2" s="187"/>
      <c r="F2" s="187"/>
      <c r="G2" s="187"/>
      <c r="H2" s="187"/>
      <c r="I2" s="187"/>
    </row>
    <row r="3" customFormat="false" ht="21" hidden="false" customHeight="true" outlineLevel="0" collapsed="false"/>
    <row r="4" customFormat="false" ht="16.5" hidden="false" customHeight="true" outlineLevel="0" collapsed="false">
      <c r="B4" s="188" t="s">
        <v>234</v>
      </c>
      <c r="C4" s="188"/>
      <c r="D4" s="188"/>
      <c r="E4" s="188"/>
      <c r="F4" s="188"/>
      <c r="G4" s="188"/>
      <c r="H4" s="188"/>
      <c r="I4" s="188"/>
    </row>
    <row r="5" customFormat="false" ht="16.5" hidden="false" customHeight="true" outlineLevel="0" collapsed="false">
      <c r="B5" s="189" t="s">
        <v>151</v>
      </c>
      <c r="C5" s="189"/>
      <c r="D5" s="190" t="n">
        <v>88264</v>
      </c>
      <c r="E5" s="190"/>
      <c r="F5" s="190"/>
      <c r="G5" s="190"/>
      <c r="H5" s="190"/>
      <c r="I5" s="190"/>
    </row>
    <row r="6" customFormat="false" ht="16.5" hidden="false" customHeight="true" outlineLevel="0" collapsed="false">
      <c r="B6" s="189" t="s">
        <v>122</v>
      </c>
      <c r="C6" s="189"/>
      <c r="D6" s="190" t="s">
        <v>235</v>
      </c>
      <c r="E6" s="190"/>
      <c r="F6" s="190"/>
      <c r="G6" s="190"/>
      <c r="H6" s="190"/>
      <c r="I6" s="190"/>
    </row>
    <row r="7" customFormat="false" ht="16.5" hidden="false" customHeight="true" outlineLevel="0" collapsed="false">
      <c r="B7" s="189" t="s">
        <v>154</v>
      </c>
      <c r="C7" s="189"/>
      <c r="D7" s="208" t="s">
        <v>155</v>
      </c>
      <c r="E7" s="208"/>
      <c r="F7" s="208"/>
      <c r="G7" s="208"/>
      <c r="H7" s="208"/>
      <c r="I7" s="208"/>
    </row>
    <row r="8" customFormat="false" ht="16.5" hidden="false" customHeight="true" outlineLevel="0" collapsed="false">
      <c r="B8" s="189" t="s">
        <v>156</v>
      </c>
      <c r="C8" s="189"/>
      <c r="D8" s="190" t="s">
        <v>178</v>
      </c>
      <c r="E8" s="190"/>
      <c r="F8" s="190"/>
      <c r="G8" s="190"/>
      <c r="H8" s="190"/>
      <c r="I8" s="190"/>
    </row>
    <row r="9" customFormat="false" ht="16.5" hidden="false" customHeight="true" outlineLevel="0" collapsed="false">
      <c r="B9" s="189" t="s">
        <v>158</v>
      </c>
      <c r="C9" s="189"/>
      <c r="D9" s="190" t="s">
        <v>196</v>
      </c>
      <c r="E9" s="190"/>
      <c r="F9" s="190"/>
      <c r="G9" s="190"/>
      <c r="H9" s="190"/>
      <c r="I9" s="190"/>
    </row>
    <row r="10" customFormat="false" ht="16.5" hidden="false" customHeight="true" outlineLevel="0" collapsed="false">
      <c r="B10" s="189" t="s">
        <v>123</v>
      </c>
      <c r="C10" s="189"/>
      <c r="D10" s="190" t="s">
        <v>166</v>
      </c>
      <c r="E10" s="190"/>
      <c r="F10" s="190"/>
      <c r="G10" s="190"/>
      <c r="H10" s="190"/>
      <c r="I10" s="190"/>
    </row>
    <row r="11" customFormat="false" ht="23.25" hidden="false" customHeight="true" outlineLevel="0" collapsed="false">
      <c r="B11" s="192" t="s">
        <v>160</v>
      </c>
      <c r="C11" s="192"/>
      <c r="D11" s="193" t="n">
        <f aca="false">SUM(I14:I22)</f>
        <v>26.519286</v>
      </c>
      <c r="E11" s="193"/>
      <c r="F11" s="193"/>
      <c r="G11" s="193"/>
      <c r="H11" s="193"/>
      <c r="I11" s="193"/>
    </row>
    <row r="12" customFormat="false" ht="15.75" hidden="false" customHeight="true" outlineLevel="0" collapsed="false">
      <c r="B12" s="194"/>
      <c r="C12" s="194"/>
      <c r="D12" s="195"/>
      <c r="E12" s="195"/>
      <c r="F12" s="195"/>
      <c r="G12" s="195"/>
      <c r="H12" s="195"/>
      <c r="I12" s="195"/>
    </row>
    <row r="13" customFormat="false" ht="30" hidden="false" customHeight="false" outlineLevel="0" collapsed="false">
      <c r="B13" s="162"/>
      <c r="C13" s="162" t="s">
        <v>161</v>
      </c>
      <c r="D13" s="162" t="s">
        <v>122</v>
      </c>
      <c r="E13" s="162" t="s">
        <v>158</v>
      </c>
      <c r="F13" s="162" t="s">
        <v>123</v>
      </c>
      <c r="G13" s="162" t="s">
        <v>197</v>
      </c>
      <c r="H13" s="162" t="s">
        <v>162</v>
      </c>
      <c r="I13" s="162" t="s">
        <v>160</v>
      </c>
    </row>
    <row r="14" customFormat="false" ht="27.75" hidden="false" customHeight="true" outlineLevel="0" collapsed="false">
      <c r="B14" s="196" t="s">
        <v>163</v>
      </c>
      <c r="C14" s="196" t="n">
        <v>95332</v>
      </c>
      <c r="D14" s="196" t="s">
        <v>236</v>
      </c>
      <c r="E14" s="196" t="s">
        <v>196</v>
      </c>
      <c r="F14" s="196" t="s">
        <v>166</v>
      </c>
      <c r="G14" s="209" t="n">
        <v>0.85</v>
      </c>
      <c r="H14" s="198" t="n">
        <v>1</v>
      </c>
      <c r="I14" s="199" t="n">
        <f aca="false">G14*H14</f>
        <v>0.85</v>
      </c>
      <c r="J14" s="200"/>
      <c r="K14" s="200"/>
    </row>
    <row r="15" customFormat="false" ht="32.25" hidden="false" customHeight="true" outlineLevel="0" collapsed="false">
      <c r="B15" s="196" t="s">
        <v>198</v>
      </c>
      <c r="C15" s="196" t="s">
        <v>237</v>
      </c>
      <c r="D15" s="196" t="s">
        <v>238</v>
      </c>
      <c r="E15" s="196" t="s">
        <v>203</v>
      </c>
      <c r="F15" s="196" t="s">
        <v>166</v>
      </c>
      <c r="G15" s="209" t="n">
        <f aca="false">'Custo Oficial de Manutenção'!C18</f>
        <v>19.269286</v>
      </c>
      <c r="H15" s="198" t="n">
        <v>1</v>
      </c>
      <c r="I15" s="199" t="n">
        <f aca="false">G15*H15</f>
        <v>19.269286</v>
      </c>
      <c r="J15" s="200"/>
      <c r="K15" s="200"/>
    </row>
    <row r="16" customFormat="false" ht="42" hidden="false" customHeight="true" outlineLevel="0" collapsed="false">
      <c r="B16" s="196" t="s">
        <v>198</v>
      </c>
      <c r="C16" s="196" t="n">
        <v>37370</v>
      </c>
      <c r="D16" s="196" t="s">
        <v>239</v>
      </c>
      <c r="E16" s="196" t="s">
        <v>206</v>
      </c>
      <c r="F16" s="196" t="s">
        <v>166</v>
      </c>
      <c r="G16" s="209" t="n">
        <v>1.46</v>
      </c>
      <c r="H16" s="198" t="n">
        <v>1</v>
      </c>
      <c r="I16" s="199" t="n">
        <f aca="false">G16*H16</f>
        <v>1.46</v>
      </c>
      <c r="J16" s="200"/>
      <c r="K16" s="200"/>
    </row>
    <row r="17" customFormat="false" ht="27.75" hidden="false" customHeight="true" outlineLevel="0" collapsed="false">
      <c r="B17" s="196" t="s">
        <v>198</v>
      </c>
      <c r="C17" s="196" t="n">
        <v>37371</v>
      </c>
      <c r="D17" s="196" t="s">
        <v>240</v>
      </c>
      <c r="E17" s="196" t="s">
        <v>241</v>
      </c>
      <c r="F17" s="196" t="s">
        <v>166</v>
      </c>
      <c r="G17" s="209" t="n">
        <v>1</v>
      </c>
      <c r="H17" s="198" t="n">
        <v>1</v>
      </c>
      <c r="I17" s="199" t="n">
        <f aca="false">G17*H17</f>
        <v>1</v>
      </c>
      <c r="J17" s="200"/>
      <c r="K17" s="200"/>
    </row>
    <row r="18" customFormat="false" ht="42" hidden="false" customHeight="true" outlineLevel="0" collapsed="false">
      <c r="B18" s="196" t="s">
        <v>198</v>
      </c>
      <c r="C18" s="196" t="n">
        <v>37372</v>
      </c>
      <c r="D18" s="196" t="s">
        <v>205</v>
      </c>
      <c r="E18" s="196" t="s">
        <v>206</v>
      </c>
      <c r="F18" s="196" t="s">
        <v>166</v>
      </c>
      <c r="G18" s="209" t="n">
        <v>1.43</v>
      </c>
      <c r="H18" s="198" t="n">
        <v>1</v>
      </c>
      <c r="I18" s="199" t="n">
        <f aca="false">G18*H18</f>
        <v>1.43</v>
      </c>
      <c r="J18" s="200"/>
      <c r="K18" s="200"/>
    </row>
    <row r="19" customFormat="false" ht="27.75" hidden="false" customHeight="true" outlineLevel="0" collapsed="false">
      <c r="B19" s="196" t="s">
        <v>198</v>
      </c>
      <c r="C19" s="196" t="n">
        <v>37373</v>
      </c>
      <c r="D19" s="196" t="s">
        <v>208</v>
      </c>
      <c r="E19" s="196" t="s">
        <v>209</v>
      </c>
      <c r="F19" s="196" t="s">
        <v>166</v>
      </c>
      <c r="G19" s="209" t="n">
        <v>0.08</v>
      </c>
      <c r="H19" s="198" t="n">
        <v>1</v>
      </c>
      <c r="I19" s="199" t="n">
        <f aca="false">G19*H19</f>
        <v>0.08</v>
      </c>
      <c r="J19" s="200"/>
      <c r="K19" s="200"/>
    </row>
    <row r="20" customFormat="false" ht="27.75" hidden="false" customHeight="true" outlineLevel="0" collapsed="false">
      <c r="B20" s="196" t="s">
        <v>198</v>
      </c>
      <c r="C20" s="196" t="n">
        <v>43460</v>
      </c>
      <c r="D20" s="196" t="s">
        <v>242</v>
      </c>
      <c r="E20" s="196" t="s">
        <v>212</v>
      </c>
      <c r="F20" s="196" t="s">
        <v>166</v>
      </c>
      <c r="G20" s="209" t="n">
        <v>0.86</v>
      </c>
      <c r="H20" s="198" t="n">
        <v>1</v>
      </c>
      <c r="I20" s="199" t="n">
        <f aca="false">G20*H20</f>
        <v>0.86</v>
      </c>
      <c r="J20" s="200"/>
      <c r="K20" s="200"/>
    </row>
    <row r="21" customFormat="false" ht="29.25" hidden="false" customHeight="true" outlineLevel="0" collapsed="false">
      <c r="B21" s="210" t="s">
        <v>198</v>
      </c>
      <c r="C21" s="210" t="n">
        <v>43461</v>
      </c>
      <c r="D21" s="210" t="s">
        <v>243</v>
      </c>
      <c r="E21" s="210" t="s">
        <v>212</v>
      </c>
      <c r="F21" s="210" t="s">
        <v>166</v>
      </c>
      <c r="G21" s="211" t="n">
        <v>0.31</v>
      </c>
      <c r="H21" s="212" t="n">
        <v>1</v>
      </c>
      <c r="I21" s="213" t="n">
        <f aca="false">G21*H21</f>
        <v>0.31</v>
      </c>
      <c r="J21" s="200"/>
      <c r="K21" s="200"/>
    </row>
    <row r="22" customFormat="false" ht="27.75" hidden="false" customHeight="true" outlineLevel="0" collapsed="false">
      <c r="B22" s="196" t="s">
        <v>198</v>
      </c>
      <c r="C22" s="196" t="n">
        <v>43484</v>
      </c>
      <c r="D22" s="196" t="s">
        <v>244</v>
      </c>
      <c r="E22" s="196" t="s">
        <v>212</v>
      </c>
      <c r="F22" s="196" t="s">
        <v>166</v>
      </c>
      <c r="G22" s="209" t="n">
        <v>1.26</v>
      </c>
      <c r="H22" s="198" t="n">
        <v>1</v>
      </c>
      <c r="I22" s="199" t="n">
        <f aca="false">G22*H22</f>
        <v>1.26</v>
      </c>
      <c r="J22" s="200"/>
      <c r="K22" s="200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Y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15.5"/>
    <col collapsed="false" customWidth="true" hidden="false" outlineLevel="0" max="3" min="3" style="19" width="16.26"/>
    <col collapsed="false" customWidth="true" hidden="false" outlineLevel="0" max="4" min="4" style="18" width="31.88"/>
    <col collapsed="false" customWidth="true" hidden="false" outlineLevel="0" max="5" min="5" style="18" width="39.75"/>
    <col collapsed="false" customWidth="true" hidden="false" outlineLevel="0" max="6" min="6" style="19" width="15.26"/>
    <col collapsed="false" customWidth="true" hidden="false" outlineLevel="0" max="7" min="7" style="18" width="9"/>
    <col collapsed="false" customWidth="true" hidden="false" outlineLevel="0" max="8" min="8" style="18" width="9.12"/>
    <col collapsed="false" customWidth="true" hidden="false" outlineLevel="0" max="9" min="9" style="18" width="12"/>
    <col collapsed="false" customWidth="true" hidden="false" outlineLevel="0" max="11" min="10" style="18" width="11.25"/>
    <col collapsed="false" customWidth="true" hidden="false" outlineLevel="0" max="12" min="12" style="18" width="10.38"/>
    <col collapsed="false" customWidth="true" hidden="false" outlineLevel="0" max="13" min="13" style="18" width="10.5"/>
    <col collapsed="false" customWidth="true" hidden="false" outlineLevel="0" max="14" min="14" style="18" width="12.5"/>
    <col collapsed="false" customWidth="true" hidden="false" outlineLevel="0" max="259" min="15" style="18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14" customFormat="true" ht="29.25" hidden="false" customHeight="true" outlineLevel="0" collapsed="false">
      <c r="B2" s="215" t="str">
        <f aca="false">"RELAÇÃO DE UNIDADES DO "&amp;'Valor da Contratação'!B7&amp;""</f>
        <v>RELAÇÃO DE UNIDADES DO POLO VII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3" s="18" customFormat="true" ht="15" hidden="false" customHeight="true" outlineLevel="0" collapsed="false"/>
    <row r="4" customFormat="false" ht="66.75" hidden="false" customHeight="true" outlineLevel="0" collapsed="false">
      <c r="B4" s="34" t="s">
        <v>245</v>
      </c>
      <c r="C4" s="34" t="s">
        <v>13</v>
      </c>
      <c r="D4" s="34" t="s">
        <v>41</v>
      </c>
      <c r="E4" s="34" t="s">
        <v>246</v>
      </c>
      <c r="F4" s="34" t="s">
        <v>247</v>
      </c>
      <c r="G4" s="34" t="s">
        <v>248</v>
      </c>
      <c r="H4" s="34" t="s">
        <v>71</v>
      </c>
      <c r="I4" s="34" t="s">
        <v>249</v>
      </c>
      <c r="J4" s="34" t="s">
        <v>250</v>
      </c>
      <c r="K4" s="34" t="s">
        <v>251</v>
      </c>
      <c r="L4" s="34" t="s">
        <v>252</v>
      </c>
      <c r="M4" s="34" t="s">
        <v>253</v>
      </c>
      <c r="N4" s="34" t="s">
        <v>254</v>
      </c>
    </row>
    <row r="5" s="216" customFormat="true" ht="18" hidden="false" customHeight="true" outlineLevel="0" collapsed="false">
      <c r="B5" s="217" t="s">
        <v>255</v>
      </c>
      <c r="C5" s="217" t="s">
        <v>21</v>
      </c>
      <c r="D5" s="218" t="s">
        <v>83</v>
      </c>
      <c r="E5" s="219" t="s">
        <v>256</v>
      </c>
      <c r="F5" s="220" t="n">
        <v>0.98</v>
      </c>
      <c r="G5" s="221" t="n">
        <v>0.03</v>
      </c>
      <c r="H5" s="221" t="n">
        <f aca="false">HLOOKUP(G5,BDI!$D$19:$J$30,12,)</f>
        <v>0.2849</v>
      </c>
      <c r="I5" s="222" t="n">
        <v>142.98</v>
      </c>
      <c r="J5" s="222" t="n">
        <v>142.98</v>
      </c>
      <c r="K5" s="222" t="n">
        <v>0</v>
      </c>
      <c r="L5" s="222" t="n">
        <v>0</v>
      </c>
      <c r="M5" s="223" t="s">
        <v>257</v>
      </c>
      <c r="N5" s="223" t="s">
        <v>257</v>
      </c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1"/>
      <c r="IW5" s="131"/>
      <c r="IX5" s="131"/>
      <c r="IY5" s="131"/>
    </row>
    <row r="6" customFormat="false" ht="18" hidden="false" customHeight="true" outlineLevel="0" collapsed="false">
      <c r="B6" s="224" t="s">
        <v>255</v>
      </c>
      <c r="C6" s="224" t="s">
        <v>21</v>
      </c>
      <c r="D6" s="225" t="s">
        <v>81</v>
      </c>
      <c r="E6" s="219" t="s">
        <v>258</v>
      </c>
      <c r="F6" s="66" t="n">
        <v>0.9</v>
      </c>
      <c r="G6" s="221" t="n">
        <v>0.02</v>
      </c>
      <c r="H6" s="221" t="n">
        <f aca="false">HLOOKUP(G6,BDI!$D$19:$J$30,12,)</f>
        <v>0.2707</v>
      </c>
      <c r="I6" s="223" t="n">
        <v>1237.91</v>
      </c>
      <c r="J6" s="223" t="n">
        <v>1047.75</v>
      </c>
      <c r="K6" s="223" t="n">
        <v>190.16</v>
      </c>
      <c r="L6" s="223" t="n">
        <v>0</v>
      </c>
      <c r="M6" s="223" t="s">
        <v>259</v>
      </c>
      <c r="N6" s="223" t="s">
        <v>259</v>
      </c>
    </row>
    <row r="7" customFormat="false" ht="18" hidden="false" customHeight="true" outlineLevel="0" collapsed="false">
      <c r="B7" s="224" t="s">
        <v>255</v>
      </c>
      <c r="C7" s="224" t="s">
        <v>21</v>
      </c>
      <c r="D7" s="225" t="s">
        <v>85</v>
      </c>
      <c r="E7" s="226" t="s">
        <v>260</v>
      </c>
      <c r="F7" s="66" t="n">
        <v>0.97</v>
      </c>
      <c r="G7" s="221" t="n">
        <v>0.025</v>
      </c>
      <c r="H7" s="221" t="n">
        <f aca="false">HLOOKUP(G7,BDI!$D$19:$J$30,12,)</f>
        <v>0.2778</v>
      </c>
      <c r="I7" s="223" t="n">
        <v>1320.78</v>
      </c>
      <c r="J7" s="223" t="n">
        <v>925.8</v>
      </c>
      <c r="K7" s="223" t="n">
        <v>394.98</v>
      </c>
      <c r="L7" s="223" t="n">
        <v>0</v>
      </c>
      <c r="M7" s="223" t="s">
        <v>259</v>
      </c>
      <c r="N7" s="223" t="s">
        <v>259</v>
      </c>
    </row>
    <row r="8" customFormat="false" ht="18" hidden="false" customHeight="true" outlineLevel="0" collapsed="false">
      <c r="B8" s="224" t="s">
        <v>255</v>
      </c>
      <c r="C8" s="224" t="s">
        <v>21</v>
      </c>
      <c r="D8" s="225" t="s">
        <v>86</v>
      </c>
      <c r="E8" s="226" t="s">
        <v>261</v>
      </c>
      <c r="F8" s="66" t="n">
        <v>0.97</v>
      </c>
      <c r="G8" s="221" t="n">
        <v>0.02</v>
      </c>
      <c r="H8" s="221" t="n">
        <f aca="false">HLOOKUP(G8,BDI!$D$19:$J$30,12,)</f>
        <v>0.2707</v>
      </c>
      <c r="I8" s="223" t="n">
        <v>1577.06</v>
      </c>
      <c r="J8" s="223" t="n">
        <v>784.54</v>
      </c>
      <c r="K8" s="223" t="n">
        <v>565.1</v>
      </c>
      <c r="L8" s="223" t="n">
        <v>227.42</v>
      </c>
      <c r="M8" s="223" t="s">
        <v>257</v>
      </c>
      <c r="N8" s="223" t="s">
        <v>259</v>
      </c>
    </row>
    <row r="9" customFormat="false" ht="18" hidden="false" customHeight="true" outlineLevel="0" collapsed="false">
      <c r="B9" s="224" t="s">
        <v>255</v>
      </c>
      <c r="C9" s="224" t="s">
        <v>21</v>
      </c>
      <c r="D9" s="225" t="s">
        <v>87</v>
      </c>
      <c r="E9" s="219" t="s">
        <v>262</v>
      </c>
      <c r="F9" s="66" t="n">
        <v>0.53</v>
      </c>
      <c r="G9" s="221" t="n">
        <v>0.03</v>
      </c>
      <c r="H9" s="221" t="n">
        <f aca="false">HLOOKUP(G9,BDI!$D$19:$J$30,12,)</f>
        <v>0.2849</v>
      </c>
      <c r="I9" s="223" t="n">
        <v>436.8</v>
      </c>
      <c r="J9" s="223" t="n">
        <v>0</v>
      </c>
      <c r="K9" s="223" t="n">
        <v>436.8</v>
      </c>
      <c r="L9" s="223" t="n">
        <v>0</v>
      </c>
      <c r="M9" s="223" t="s">
        <v>257</v>
      </c>
      <c r="N9" s="223" t="s">
        <v>257</v>
      </c>
    </row>
    <row r="10" customFormat="false" ht="18" hidden="false" customHeight="true" outlineLevel="0" collapsed="false">
      <c r="B10" s="224" t="s">
        <v>255</v>
      </c>
      <c r="C10" s="224" t="s">
        <v>21</v>
      </c>
      <c r="D10" s="225" t="s">
        <v>89</v>
      </c>
      <c r="E10" s="219" t="s">
        <v>263</v>
      </c>
      <c r="F10" s="66" t="n">
        <v>0.93</v>
      </c>
      <c r="G10" s="221" t="n">
        <v>0.02</v>
      </c>
      <c r="H10" s="221" t="n">
        <f aca="false">HLOOKUP(G10,BDI!$D$19:$J$30,12,)</f>
        <v>0.2707</v>
      </c>
      <c r="I10" s="223" t="n">
        <v>2817.56</v>
      </c>
      <c r="J10" s="223" t="n">
        <v>0</v>
      </c>
      <c r="K10" s="223" t="n">
        <v>731.05</v>
      </c>
      <c r="L10" s="223" t="n">
        <v>2086.51</v>
      </c>
      <c r="M10" s="223" t="s">
        <v>257</v>
      </c>
      <c r="N10" s="223" t="s">
        <v>257</v>
      </c>
    </row>
    <row r="11" customFormat="false" ht="18" hidden="false" customHeight="true" outlineLevel="0" collapsed="false">
      <c r="B11" s="224" t="s">
        <v>255</v>
      </c>
      <c r="C11" s="224" t="s">
        <v>21</v>
      </c>
      <c r="D11" s="225" t="s">
        <v>90</v>
      </c>
      <c r="E11" s="219" t="s">
        <v>264</v>
      </c>
      <c r="F11" s="66" t="n">
        <v>0.67</v>
      </c>
      <c r="G11" s="221" t="n">
        <v>0.03</v>
      </c>
      <c r="H11" s="221" t="n">
        <f aca="false">HLOOKUP(G11,BDI!$D$19:$J$30,12,)</f>
        <v>0.2849</v>
      </c>
      <c r="I11" s="223" t="n">
        <v>3136.2</v>
      </c>
      <c r="J11" s="223" t="n">
        <v>2619.3</v>
      </c>
      <c r="K11" s="223" t="n">
        <v>376.78</v>
      </c>
      <c r="L11" s="223" t="n">
        <v>140.12</v>
      </c>
      <c r="M11" s="223" t="s">
        <v>259</v>
      </c>
      <c r="N11" s="223" t="s">
        <v>259</v>
      </c>
    </row>
    <row r="12" customFormat="false" ht="18" hidden="false" customHeight="true" outlineLevel="0" collapsed="false">
      <c r="B12" s="224" t="s">
        <v>21</v>
      </c>
      <c r="C12" s="224" t="s">
        <v>21</v>
      </c>
      <c r="D12" s="225" t="s">
        <v>92</v>
      </c>
      <c r="E12" s="219" t="s">
        <v>265</v>
      </c>
      <c r="F12" s="66" t="n">
        <v>0.97</v>
      </c>
      <c r="G12" s="221" t="n">
        <v>0.03</v>
      </c>
      <c r="H12" s="221" t="n">
        <f aca="false">HLOOKUP(G12,BDI!$D$19:$J$30,12,)</f>
        <v>0.2849</v>
      </c>
      <c r="I12" s="223" t="n">
        <v>394</v>
      </c>
      <c r="J12" s="223" t="n">
        <v>374</v>
      </c>
      <c r="K12" s="223" t="n">
        <v>20</v>
      </c>
      <c r="L12" s="223" t="n">
        <v>0</v>
      </c>
      <c r="M12" s="223" t="s">
        <v>257</v>
      </c>
      <c r="N12" s="223" t="s">
        <v>257</v>
      </c>
    </row>
    <row r="13" customFormat="false" ht="18" hidden="false" customHeight="true" outlineLevel="0" collapsed="false">
      <c r="B13" s="224" t="s">
        <v>21</v>
      </c>
      <c r="C13" s="224" t="s">
        <v>21</v>
      </c>
      <c r="D13" s="225" t="s">
        <v>93</v>
      </c>
      <c r="E13" s="219" t="s">
        <v>266</v>
      </c>
      <c r="F13" s="66" t="n">
        <v>0.07</v>
      </c>
      <c r="G13" s="221" t="n">
        <v>0.04</v>
      </c>
      <c r="H13" s="221" t="n">
        <f aca="false">HLOOKUP(G13,BDI!$D$19:$J$30,12,)</f>
        <v>0.2994</v>
      </c>
      <c r="I13" s="223" t="n">
        <v>10465.16</v>
      </c>
      <c r="J13" s="223" t="n">
        <v>396.9</v>
      </c>
      <c r="K13" s="223" t="n">
        <v>132.9</v>
      </c>
      <c r="L13" s="223" t="n">
        <f aca="false">I13-J13-K13</f>
        <v>9935.36</v>
      </c>
      <c r="M13" s="223" t="s">
        <v>259</v>
      </c>
      <c r="N13" s="223" t="s">
        <v>259</v>
      </c>
    </row>
    <row r="14" customFormat="false" ht="18" hidden="false" customHeight="true" outlineLevel="0" collapsed="false">
      <c r="B14" s="224" t="s">
        <v>21</v>
      </c>
      <c r="C14" s="224" t="s">
        <v>21</v>
      </c>
      <c r="D14" s="225" t="s">
        <v>95</v>
      </c>
      <c r="E14" s="219" t="s">
        <v>267</v>
      </c>
      <c r="F14" s="66" t="n">
        <v>0.3</v>
      </c>
      <c r="G14" s="221" t="n">
        <v>0.04</v>
      </c>
      <c r="H14" s="221" t="n">
        <f aca="false">HLOOKUP(G14,BDI!$D$19:$J$30,12,)</f>
        <v>0.2994</v>
      </c>
      <c r="I14" s="223" t="n">
        <v>10773</v>
      </c>
      <c r="J14" s="223" t="n">
        <v>3538</v>
      </c>
      <c r="K14" s="223" t="n">
        <v>2625.3</v>
      </c>
      <c r="L14" s="223" t="n">
        <v>4609.7</v>
      </c>
      <c r="M14" s="223" t="s">
        <v>259</v>
      </c>
      <c r="N14" s="223" t="s">
        <v>259</v>
      </c>
    </row>
    <row r="15" customFormat="false" ht="18" hidden="false" customHeight="true" outlineLevel="0" collapsed="false">
      <c r="B15" s="224" t="s">
        <v>21</v>
      </c>
      <c r="C15" s="224" t="s">
        <v>21</v>
      </c>
      <c r="D15" s="225" t="s">
        <v>96</v>
      </c>
      <c r="E15" s="219" t="s">
        <v>268</v>
      </c>
      <c r="F15" s="66" t="n">
        <v>0.67</v>
      </c>
      <c r="G15" s="221" t="n">
        <v>0.04</v>
      </c>
      <c r="H15" s="221" t="n">
        <f aca="false">HLOOKUP(G15,BDI!$D$19:$J$30,12,)</f>
        <v>0.2994</v>
      </c>
      <c r="I15" s="223" t="n">
        <v>398</v>
      </c>
      <c r="J15" s="223" t="n">
        <v>350</v>
      </c>
      <c r="K15" s="223" t="n">
        <v>48</v>
      </c>
      <c r="L15" s="223" t="n">
        <v>0</v>
      </c>
      <c r="M15" s="223" t="s">
        <v>257</v>
      </c>
      <c r="N15" s="223" t="s">
        <v>259</v>
      </c>
    </row>
    <row r="16" customFormat="false" ht="18" hidden="false" customHeight="true" outlineLevel="0" collapsed="false">
      <c r="B16" s="224" t="s">
        <v>21</v>
      </c>
      <c r="C16" s="224" t="s">
        <v>21</v>
      </c>
      <c r="D16" s="225" t="s">
        <v>97</v>
      </c>
      <c r="E16" s="219" t="s">
        <v>269</v>
      </c>
      <c r="F16" s="66" t="n">
        <v>0.47</v>
      </c>
      <c r="G16" s="221" t="n">
        <v>0.04</v>
      </c>
      <c r="H16" s="221" t="n">
        <f aca="false">HLOOKUP(G16,BDI!$D$19:$J$30,12,)</f>
        <v>0.2994</v>
      </c>
      <c r="I16" s="223" t="n">
        <v>3131</v>
      </c>
      <c r="J16" s="223" t="n">
        <v>138</v>
      </c>
      <c r="K16" s="223" t="n">
        <v>2993</v>
      </c>
      <c r="L16" s="223" t="n">
        <v>0</v>
      </c>
      <c r="M16" s="223" t="s">
        <v>259</v>
      </c>
      <c r="N16" s="223" t="s">
        <v>259</v>
      </c>
    </row>
    <row r="17" customFormat="false" ht="18" hidden="false" customHeight="true" outlineLevel="0" collapsed="false">
      <c r="B17" s="224" t="s">
        <v>21</v>
      </c>
      <c r="C17" s="224" t="s">
        <v>21</v>
      </c>
      <c r="D17" s="225" t="s">
        <v>98</v>
      </c>
      <c r="E17" s="226" t="s">
        <v>270</v>
      </c>
      <c r="F17" s="66" t="n">
        <v>0</v>
      </c>
      <c r="G17" s="221" t="n">
        <v>0.04</v>
      </c>
      <c r="H17" s="221" t="n">
        <f aca="false">HLOOKUP(G17,BDI!$D$19:$J$30,12,)</f>
        <v>0.2994</v>
      </c>
      <c r="I17" s="223" t="n">
        <v>18091</v>
      </c>
      <c r="J17" s="223" t="n">
        <v>9045.5</v>
      </c>
      <c r="K17" s="223" t="n">
        <v>2713.65</v>
      </c>
      <c r="L17" s="223" t="n">
        <v>6331.85</v>
      </c>
      <c r="M17" s="223" t="s">
        <v>259</v>
      </c>
      <c r="N17" s="223" t="s">
        <v>259</v>
      </c>
    </row>
    <row r="18" customFormat="false" ht="18" hidden="false" customHeight="true" outlineLevel="0" collapsed="false">
      <c r="B18" s="224" t="s">
        <v>21</v>
      </c>
      <c r="C18" s="224" t="s">
        <v>21</v>
      </c>
      <c r="D18" s="225" t="s">
        <v>99</v>
      </c>
      <c r="E18" s="219" t="s">
        <v>271</v>
      </c>
      <c r="F18" s="66" t="n">
        <v>0.07</v>
      </c>
      <c r="G18" s="221" t="n">
        <v>0.04</v>
      </c>
      <c r="H18" s="221" t="n">
        <f aca="false">HLOOKUP(G18,BDI!$D$19:$J$30,12,)</f>
        <v>0.2994</v>
      </c>
      <c r="I18" s="223" t="n">
        <v>7872</v>
      </c>
      <c r="J18" s="223" t="n">
        <v>0</v>
      </c>
      <c r="K18" s="223" t="n">
        <v>0</v>
      </c>
      <c r="L18" s="223" t="n">
        <v>7872</v>
      </c>
      <c r="M18" s="223" t="s">
        <v>257</v>
      </c>
      <c r="N18" s="223" t="s">
        <v>259</v>
      </c>
    </row>
    <row r="19" customFormat="false" ht="18" hidden="false" customHeight="true" outlineLevel="0" collapsed="false">
      <c r="B19" s="224" t="s">
        <v>22</v>
      </c>
      <c r="C19" s="224" t="s">
        <v>22</v>
      </c>
      <c r="D19" s="225" t="s">
        <v>132</v>
      </c>
      <c r="E19" s="219" t="s">
        <v>272</v>
      </c>
      <c r="F19" s="66" t="n">
        <v>3.67</v>
      </c>
      <c r="G19" s="221" t="n">
        <v>0.02</v>
      </c>
      <c r="H19" s="221" t="n">
        <f aca="false">HLOOKUP(G19,BDI!$D$19:$J$30,12,)</f>
        <v>0.2707</v>
      </c>
      <c r="I19" s="223" t="n">
        <v>1011.72</v>
      </c>
      <c r="J19" s="223" t="n">
        <v>492.6</v>
      </c>
      <c r="K19" s="223" t="n">
        <v>501.82</v>
      </c>
      <c r="L19" s="223" t="n">
        <v>17.3</v>
      </c>
      <c r="M19" s="223" t="s">
        <v>257</v>
      </c>
      <c r="N19" s="223" t="s">
        <v>259</v>
      </c>
    </row>
    <row r="20" customFormat="false" ht="18" hidden="false" customHeight="true" outlineLevel="0" collapsed="false">
      <c r="B20" s="224" t="s">
        <v>22</v>
      </c>
      <c r="C20" s="224" t="s">
        <v>22</v>
      </c>
      <c r="D20" s="225" t="s">
        <v>133</v>
      </c>
      <c r="E20" s="219" t="s">
        <v>273</v>
      </c>
      <c r="F20" s="66" t="n">
        <v>0.83</v>
      </c>
      <c r="G20" s="221" t="n">
        <v>0.02</v>
      </c>
      <c r="H20" s="221" t="n">
        <f aca="false">HLOOKUP(G20,BDI!$D$19:$J$30,12,)</f>
        <v>0.2707</v>
      </c>
      <c r="I20" s="223" t="n">
        <v>334.4</v>
      </c>
      <c r="J20" s="223" t="n">
        <v>296</v>
      </c>
      <c r="K20" s="223" t="n">
        <v>38.4</v>
      </c>
      <c r="L20" s="223" t="n">
        <v>0</v>
      </c>
      <c r="M20" s="223" t="s">
        <v>257</v>
      </c>
      <c r="N20" s="223" t="s">
        <v>257</v>
      </c>
    </row>
    <row r="21" customFormat="false" ht="18" hidden="false" customHeight="true" outlineLevel="0" collapsed="false">
      <c r="B21" s="224" t="s">
        <v>22</v>
      </c>
      <c r="C21" s="224" t="s">
        <v>22</v>
      </c>
      <c r="D21" s="225" t="s">
        <v>134</v>
      </c>
      <c r="E21" s="219" t="s">
        <v>274</v>
      </c>
      <c r="F21" s="66" t="n">
        <v>3.45</v>
      </c>
      <c r="G21" s="221" t="n">
        <v>0.02</v>
      </c>
      <c r="H21" s="221" t="n">
        <f aca="false">HLOOKUP(G21,BDI!$D$19:$J$30,12,)</f>
        <v>0.2707</v>
      </c>
      <c r="I21" s="223" t="n">
        <v>1001.58</v>
      </c>
      <c r="J21" s="223" t="n">
        <v>528.18</v>
      </c>
      <c r="K21" s="223" t="n">
        <v>0</v>
      </c>
      <c r="L21" s="223" t="n">
        <v>1152.36</v>
      </c>
      <c r="M21" s="223" t="s">
        <v>257</v>
      </c>
      <c r="N21" s="223" t="s">
        <v>259</v>
      </c>
    </row>
    <row r="22" customFormat="false" ht="18" hidden="false" customHeight="true" outlineLevel="0" collapsed="false">
      <c r="B22" s="224" t="s">
        <v>22</v>
      </c>
      <c r="C22" s="224" t="s">
        <v>22</v>
      </c>
      <c r="D22" s="225" t="s">
        <v>135</v>
      </c>
      <c r="E22" s="219" t="s">
        <v>275</v>
      </c>
      <c r="F22" s="66" t="n">
        <v>2</v>
      </c>
      <c r="G22" s="221" t="n">
        <v>0.03</v>
      </c>
      <c r="H22" s="221" t="n">
        <f aca="false">HLOOKUP(G22,BDI!$D$19:$J$30,12,)</f>
        <v>0.2849</v>
      </c>
      <c r="I22" s="223" t="n">
        <v>1315.1</v>
      </c>
      <c r="J22" s="223" t="n">
        <v>1195.25</v>
      </c>
      <c r="K22" s="223" t="n">
        <v>119.85</v>
      </c>
      <c r="L22" s="223" t="n">
        <v>0</v>
      </c>
      <c r="M22" s="223" t="s">
        <v>257</v>
      </c>
      <c r="N22" s="223" t="s">
        <v>259</v>
      </c>
    </row>
    <row r="23" customFormat="false" ht="18" hidden="false" customHeight="true" outlineLevel="0" collapsed="false">
      <c r="B23" s="224" t="s">
        <v>22</v>
      </c>
      <c r="C23" s="224" t="s">
        <v>22</v>
      </c>
      <c r="D23" s="225" t="s">
        <v>136</v>
      </c>
      <c r="E23" s="219" t="s">
        <v>276</v>
      </c>
      <c r="F23" s="66" t="n">
        <v>5.8</v>
      </c>
      <c r="G23" s="221" t="n">
        <v>0.03</v>
      </c>
      <c r="H23" s="221" t="n">
        <f aca="false">HLOOKUP(G23,BDI!$D$19:$J$30,12,)</f>
        <v>0.2849</v>
      </c>
      <c r="I23" s="223" t="n">
        <v>399.57</v>
      </c>
      <c r="J23" s="223" t="n">
        <v>322.16</v>
      </c>
      <c r="K23" s="223" t="n">
        <v>77.41</v>
      </c>
      <c r="L23" s="223" t="n">
        <v>0</v>
      </c>
      <c r="M23" s="223" t="s">
        <v>257</v>
      </c>
      <c r="N23" s="223" t="s">
        <v>257</v>
      </c>
    </row>
    <row r="24" customFormat="false" ht="18" hidden="false" customHeight="true" outlineLevel="0" collapsed="false">
      <c r="B24" s="224" t="s">
        <v>22</v>
      </c>
      <c r="C24" s="224" t="s">
        <v>22</v>
      </c>
      <c r="D24" s="225" t="s">
        <v>137</v>
      </c>
      <c r="E24" s="219" t="s">
        <v>277</v>
      </c>
      <c r="F24" s="66" t="n">
        <v>3.4</v>
      </c>
      <c r="G24" s="221" t="n">
        <v>0.04</v>
      </c>
      <c r="H24" s="221" t="n">
        <f aca="false">HLOOKUP(G24,BDI!$D$19:$J$30,12,)</f>
        <v>0.2994</v>
      </c>
      <c r="I24" s="223" t="n">
        <v>334.4</v>
      </c>
      <c r="J24" s="223" t="n">
        <v>296</v>
      </c>
      <c r="K24" s="223" t="n">
        <v>38.4</v>
      </c>
      <c r="L24" s="223" t="n">
        <v>0</v>
      </c>
      <c r="M24" s="223" t="s">
        <v>257</v>
      </c>
      <c r="N24" s="223" t="s">
        <v>257</v>
      </c>
    </row>
    <row r="25" customFormat="false" ht="18" hidden="false" customHeight="true" outlineLevel="0" collapsed="false">
      <c r="B25" s="224" t="s">
        <v>22</v>
      </c>
      <c r="C25" s="224" t="s">
        <v>22</v>
      </c>
      <c r="D25" s="225" t="s">
        <v>138</v>
      </c>
      <c r="E25" s="219" t="s">
        <v>278</v>
      </c>
      <c r="F25" s="66" t="n">
        <v>2.07</v>
      </c>
      <c r="G25" s="221" t="n">
        <v>0.02</v>
      </c>
      <c r="H25" s="221" t="n">
        <f aca="false">HLOOKUP(G25,BDI!$D$19:$J$30,12,)</f>
        <v>0.2707</v>
      </c>
      <c r="I25" s="223" t="n">
        <v>740.65</v>
      </c>
      <c r="J25" s="223" t="n">
        <v>631.06</v>
      </c>
      <c r="K25" s="223" t="n">
        <v>109.59</v>
      </c>
      <c r="L25" s="223" t="n">
        <v>0</v>
      </c>
      <c r="M25" s="223" t="s">
        <v>257</v>
      </c>
      <c r="N25" s="223" t="s">
        <v>257</v>
      </c>
    </row>
    <row r="26" customFormat="false" ht="18" hidden="false" customHeight="true" outlineLevel="0" collapsed="false">
      <c r="B26" s="224" t="s">
        <v>22</v>
      </c>
      <c r="C26" s="224" t="s">
        <v>22</v>
      </c>
      <c r="D26" s="225" t="s">
        <v>139</v>
      </c>
      <c r="E26" s="219" t="s">
        <v>279</v>
      </c>
      <c r="F26" s="66" t="n">
        <v>4.73</v>
      </c>
      <c r="G26" s="221" t="n">
        <v>0.02</v>
      </c>
      <c r="H26" s="221" t="n">
        <f aca="false">HLOOKUP(G26,BDI!$D$19:$J$30,12,)</f>
        <v>0.2707</v>
      </c>
      <c r="I26" s="223" t="n">
        <v>334.4</v>
      </c>
      <c r="J26" s="223" t="n">
        <v>296</v>
      </c>
      <c r="K26" s="223" t="n">
        <v>38.4</v>
      </c>
      <c r="L26" s="223" t="n">
        <v>0</v>
      </c>
      <c r="M26" s="223" t="s">
        <v>257</v>
      </c>
      <c r="N26" s="223" t="s">
        <v>257</v>
      </c>
    </row>
    <row r="27" customFormat="false" ht="18" hidden="false" customHeight="true" outlineLevel="0" collapsed="false">
      <c r="B27" s="224" t="s">
        <v>22</v>
      </c>
      <c r="C27" s="224" t="s">
        <v>22</v>
      </c>
      <c r="D27" s="225" t="s">
        <v>140</v>
      </c>
      <c r="E27" s="219" t="s">
        <v>280</v>
      </c>
      <c r="F27" s="66" t="n">
        <v>0</v>
      </c>
      <c r="G27" s="221" t="n">
        <v>0.035</v>
      </c>
      <c r="H27" s="221" t="n">
        <f aca="false">HLOOKUP(G27,BDI!$D$19:$J$30,12,)</f>
        <v>0.2921</v>
      </c>
      <c r="I27" s="223" t="n">
        <v>4965.68</v>
      </c>
      <c r="J27" s="223" t="n">
        <v>3104.81</v>
      </c>
      <c r="K27" s="223" t="n">
        <v>1100.62</v>
      </c>
      <c r="L27" s="223" t="n">
        <v>760.25</v>
      </c>
      <c r="M27" s="223" t="s">
        <v>257</v>
      </c>
      <c r="N27" s="223" t="s">
        <v>259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D42" activeCellId="0" sqref="D42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27" width="10.62"/>
    <col collapsed="false" customWidth="true" hidden="false" outlineLevel="0" max="3" min="3" style="227" width="35.62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28" t="s">
        <v>281</v>
      </c>
      <c r="C2" s="228"/>
      <c r="D2" s="228"/>
      <c r="E2" s="228"/>
      <c r="F2" s="228"/>
      <c r="G2" s="228"/>
      <c r="H2" s="228"/>
      <c r="I2" s="228"/>
      <c r="J2" s="228"/>
    </row>
    <row r="3" customFormat="false" ht="19.5" hidden="false" customHeight="true" outlineLevel="0" collapsed="false">
      <c r="B3" s="229" t="str">
        <f aca="false">'Valor da Contratação'!B8</f>
        <v>DESONERADA</v>
      </c>
      <c r="C3" s="229"/>
      <c r="D3" s="229"/>
      <c r="E3" s="229"/>
      <c r="F3" s="229"/>
      <c r="G3" s="229"/>
      <c r="H3" s="229"/>
      <c r="I3" s="229"/>
      <c r="J3" s="229"/>
    </row>
    <row r="4" customFormat="false" ht="15" hidden="false" customHeight="true" outlineLevel="0" collapsed="false">
      <c r="B4" s="230"/>
      <c r="C4" s="230"/>
      <c r="D4" s="22"/>
    </row>
    <row r="5" customFormat="false" ht="15" hidden="false" customHeight="true" outlineLevel="0" collapsed="false">
      <c r="B5" s="231" t="s">
        <v>282</v>
      </c>
      <c r="C5" s="231"/>
      <c r="D5" s="231"/>
      <c r="E5" s="231"/>
      <c r="F5" s="231"/>
      <c r="G5" s="231"/>
      <c r="H5" s="231"/>
      <c r="I5" s="231"/>
      <c r="J5" s="231"/>
    </row>
    <row r="6" customFormat="false" ht="15" hidden="false" customHeight="true" outlineLevel="0" collapsed="false">
      <c r="B6" s="232"/>
      <c r="C6" s="2"/>
      <c r="D6" s="119"/>
      <c r="E6" s="119"/>
      <c r="J6" s="233"/>
    </row>
    <row r="7" customFormat="false" ht="15" hidden="false" customHeight="true" outlineLevel="0" collapsed="false">
      <c r="B7" s="234" t="s">
        <v>283</v>
      </c>
      <c r="C7" s="234"/>
      <c r="D7" s="234"/>
      <c r="E7" s="234"/>
      <c r="F7" s="234"/>
      <c r="G7" s="234"/>
      <c r="H7" s="234"/>
      <c r="I7" s="234"/>
      <c r="J7" s="234"/>
    </row>
    <row r="8" customFormat="false" ht="15" hidden="false" customHeight="true" outlineLevel="0" collapsed="false">
      <c r="B8" s="235"/>
      <c r="C8" s="236"/>
      <c r="D8" s="119"/>
      <c r="E8" s="119"/>
      <c r="J8" s="233"/>
    </row>
    <row r="9" customFormat="false" ht="15" hidden="false" customHeight="true" outlineLevel="0" collapsed="false">
      <c r="B9" s="237" t="s">
        <v>284</v>
      </c>
      <c r="C9" s="237"/>
      <c r="D9" s="237"/>
      <c r="E9" s="237"/>
      <c r="F9" s="237"/>
      <c r="G9" s="237"/>
      <c r="H9" s="237"/>
      <c r="I9" s="237"/>
      <c r="J9" s="237"/>
    </row>
    <row r="10" customFormat="false" ht="15" hidden="false" customHeight="true" outlineLevel="0" collapsed="false">
      <c r="B10" s="238" t="s">
        <v>285</v>
      </c>
      <c r="C10" s="238"/>
      <c r="D10" s="238"/>
      <c r="E10" s="238"/>
      <c r="F10" s="238"/>
      <c r="G10" s="238"/>
      <c r="H10" s="238"/>
      <c r="I10" s="238"/>
      <c r="J10" s="238"/>
    </row>
    <row r="11" customFormat="false" ht="15" hidden="false" customHeight="true" outlineLevel="0" collapsed="false">
      <c r="B11" s="238" t="s">
        <v>286</v>
      </c>
      <c r="C11" s="238"/>
      <c r="D11" s="238"/>
      <c r="E11" s="238"/>
      <c r="F11" s="238"/>
      <c r="G11" s="238"/>
      <c r="H11" s="238"/>
      <c r="I11" s="238"/>
      <c r="J11" s="238"/>
    </row>
    <row r="12" customFormat="false" ht="15" hidden="false" customHeight="true" outlineLevel="0" collapsed="false">
      <c r="B12" s="238" t="s">
        <v>287</v>
      </c>
      <c r="C12" s="238"/>
      <c r="D12" s="238"/>
      <c r="E12" s="238"/>
      <c r="F12" s="238"/>
      <c r="G12" s="238"/>
      <c r="H12" s="238"/>
      <c r="I12" s="238"/>
      <c r="J12" s="238"/>
    </row>
    <row r="13" customFormat="false" ht="15" hidden="false" customHeight="true" outlineLevel="0" collapsed="false">
      <c r="B13" s="238" t="s">
        <v>288</v>
      </c>
      <c r="C13" s="238"/>
      <c r="D13" s="238"/>
      <c r="E13" s="238"/>
      <c r="F13" s="238"/>
      <c r="G13" s="238"/>
      <c r="H13" s="238"/>
      <c r="I13" s="238"/>
      <c r="J13" s="238"/>
    </row>
    <row r="14" customFormat="false" ht="15" hidden="false" customHeight="true" outlineLevel="0" collapsed="false">
      <c r="B14" s="238" t="s">
        <v>289</v>
      </c>
      <c r="C14" s="238"/>
      <c r="D14" s="238"/>
      <c r="E14" s="238"/>
      <c r="F14" s="238"/>
      <c r="G14" s="238"/>
      <c r="H14" s="238"/>
      <c r="I14" s="238"/>
      <c r="J14" s="238"/>
    </row>
    <row r="15" customFormat="false" ht="15" hidden="false" customHeight="true" outlineLevel="0" collapsed="false">
      <c r="B15" s="238" t="s">
        <v>290</v>
      </c>
      <c r="C15" s="238"/>
      <c r="D15" s="238"/>
      <c r="E15" s="238"/>
      <c r="F15" s="238"/>
      <c r="G15" s="238"/>
      <c r="H15" s="238"/>
      <c r="I15" s="238"/>
      <c r="J15" s="238"/>
    </row>
    <row r="16" customFormat="false" ht="15" hidden="false" customHeight="true" outlineLevel="0" collapsed="false">
      <c r="B16" s="239" t="s">
        <v>291</v>
      </c>
      <c r="C16" s="239"/>
      <c r="D16" s="239"/>
      <c r="E16" s="239"/>
      <c r="F16" s="239"/>
      <c r="G16" s="239"/>
      <c r="H16" s="239"/>
      <c r="I16" s="239"/>
      <c r="J16" s="239"/>
    </row>
    <row r="17" customFormat="false" ht="24.75" hidden="false" customHeight="true" outlineLevel="0" collapsed="false">
      <c r="D17" s="22"/>
    </row>
    <row r="18" customFormat="false" ht="16.5" hidden="false" customHeight="true" outlineLevel="0" collapsed="false">
      <c r="B18" s="34" t="s">
        <v>292</v>
      </c>
      <c r="C18" s="34"/>
      <c r="D18" s="240" t="s">
        <v>248</v>
      </c>
      <c r="E18" s="240" t="s">
        <v>248</v>
      </c>
      <c r="F18" s="240" t="s">
        <v>248</v>
      </c>
      <c r="G18" s="241" t="s">
        <v>248</v>
      </c>
      <c r="H18" s="242" t="s">
        <v>248</v>
      </c>
      <c r="I18" s="242" t="s">
        <v>248</v>
      </c>
      <c r="J18" s="242" t="s">
        <v>248</v>
      </c>
    </row>
    <row r="19" customFormat="false" ht="16.5" hidden="false" customHeight="true" outlineLevel="0" collapsed="false">
      <c r="B19" s="34"/>
      <c r="C19" s="34"/>
      <c r="D19" s="243" t="n">
        <v>0.05</v>
      </c>
      <c r="E19" s="243" t="n">
        <v>0.04</v>
      </c>
      <c r="F19" s="243" t="n">
        <v>0.035</v>
      </c>
      <c r="G19" s="244" t="n">
        <v>0.03</v>
      </c>
      <c r="H19" s="245" t="n">
        <v>0.025</v>
      </c>
      <c r="I19" s="245" t="n">
        <v>0.02</v>
      </c>
      <c r="J19" s="245" t="n">
        <v>0.015</v>
      </c>
    </row>
    <row r="20" customFormat="false" ht="16.5" hidden="false" customHeight="true" outlineLevel="0" collapsed="false">
      <c r="B20" s="217" t="s">
        <v>293</v>
      </c>
      <c r="C20" s="246" t="s">
        <v>294</v>
      </c>
      <c r="D20" s="247" t="n">
        <v>0.04</v>
      </c>
      <c r="E20" s="247" t="n">
        <v>0.04</v>
      </c>
      <c r="F20" s="247" t="n">
        <v>0.04</v>
      </c>
      <c r="G20" s="247" t="n">
        <v>0.04</v>
      </c>
      <c r="H20" s="247" t="n">
        <v>0.04</v>
      </c>
      <c r="I20" s="247" t="n">
        <v>0.04</v>
      </c>
      <c r="J20" s="247" t="n">
        <v>0.04</v>
      </c>
    </row>
    <row r="21" customFormat="false" ht="16.5" hidden="false" customHeight="true" outlineLevel="0" collapsed="false">
      <c r="B21" s="217" t="s">
        <v>295</v>
      </c>
      <c r="C21" s="224" t="s">
        <v>296</v>
      </c>
      <c r="D21" s="248" t="n">
        <v>0.0123</v>
      </c>
      <c r="E21" s="248" t="n">
        <v>0.0123</v>
      </c>
      <c r="F21" s="248" t="n">
        <v>0.0123</v>
      </c>
      <c r="G21" s="248" t="n">
        <v>0.0123</v>
      </c>
      <c r="H21" s="248" t="n">
        <v>0.0123</v>
      </c>
      <c r="I21" s="248" t="n">
        <v>0.0123</v>
      </c>
      <c r="J21" s="248" t="n">
        <v>0.0123</v>
      </c>
    </row>
    <row r="22" customFormat="false" ht="16.5" hidden="false" customHeight="true" outlineLevel="0" collapsed="false">
      <c r="B22" s="217" t="s">
        <v>297</v>
      </c>
      <c r="C22" s="224" t="s">
        <v>298</v>
      </c>
      <c r="D22" s="248" t="n">
        <v>0.008</v>
      </c>
      <c r="E22" s="248" t="n">
        <v>0.008</v>
      </c>
      <c r="F22" s="248" t="n">
        <v>0.008</v>
      </c>
      <c r="G22" s="248" t="n">
        <v>0.008</v>
      </c>
      <c r="H22" s="248" t="n">
        <v>0.008</v>
      </c>
      <c r="I22" s="248" t="n">
        <v>0.008</v>
      </c>
      <c r="J22" s="248" t="n">
        <v>0.008</v>
      </c>
    </row>
    <row r="23" customFormat="false" ht="16.5" hidden="false" customHeight="true" outlineLevel="0" collapsed="false">
      <c r="B23" s="217" t="s">
        <v>299</v>
      </c>
      <c r="C23" s="224" t="s">
        <v>300</v>
      </c>
      <c r="D23" s="248" t="n">
        <v>0.0127</v>
      </c>
      <c r="E23" s="248" t="n">
        <v>0.0127</v>
      </c>
      <c r="F23" s="248" t="n">
        <v>0.0127</v>
      </c>
      <c r="G23" s="248" t="n">
        <v>0.0127</v>
      </c>
      <c r="H23" s="248" t="n">
        <v>0.0127</v>
      </c>
      <c r="I23" s="248" t="n">
        <v>0.0127</v>
      </c>
      <c r="J23" s="248" t="n">
        <v>0.0127</v>
      </c>
    </row>
    <row r="24" customFormat="false" ht="16.5" hidden="false" customHeight="true" outlineLevel="0" collapsed="false">
      <c r="B24" s="217" t="s">
        <v>301</v>
      </c>
      <c r="C24" s="224" t="s">
        <v>302</v>
      </c>
      <c r="D24" s="248" t="n">
        <v>0.074</v>
      </c>
      <c r="E24" s="248" t="n">
        <v>0.074</v>
      </c>
      <c r="F24" s="248" t="n">
        <v>0.074</v>
      </c>
      <c r="G24" s="248" t="n">
        <v>0.074</v>
      </c>
      <c r="H24" s="248" t="n">
        <v>0.074</v>
      </c>
      <c r="I24" s="248" t="n">
        <v>0.074</v>
      </c>
      <c r="J24" s="248" t="n">
        <v>0.074</v>
      </c>
    </row>
    <row r="25" customFormat="false" ht="16.5" hidden="false" customHeight="true" outlineLevel="0" collapsed="false">
      <c r="B25" s="217" t="s">
        <v>198</v>
      </c>
      <c r="C25" s="224" t="s">
        <v>303</v>
      </c>
      <c r="D25" s="248" t="n">
        <v>0.0065</v>
      </c>
      <c r="E25" s="248" t="n">
        <v>0.0065</v>
      </c>
      <c r="F25" s="248" t="n">
        <v>0.0065</v>
      </c>
      <c r="G25" s="248" t="n">
        <v>0.0065</v>
      </c>
      <c r="H25" s="248" t="n">
        <v>0.0065</v>
      </c>
      <c r="I25" s="248" t="n">
        <v>0.0065</v>
      </c>
      <c r="J25" s="248" t="n">
        <v>0.0065</v>
      </c>
    </row>
    <row r="26" customFormat="false" ht="16.5" hidden="false" customHeight="true" outlineLevel="0" collapsed="false">
      <c r="B26" s="217"/>
      <c r="C26" s="217" t="s">
        <v>304</v>
      </c>
      <c r="D26" s="249" t="n">
        <v>0.03</v>
      </c>
      <c r="E26" s="249" t="n">
        <v>0.03</v>
      </c>
      <c r="F26" s="249" t="n">
        <v>0.03</v>
      </c>
      <c r="G26" s="249" t="n">
        <v>0.03</v>
      </c>
      <c r="H26" s="249" t="n">
        <v>0.03</v>
      </c>
      <c r="I26" s="249" t="n">
        <v>0.03</v>
      </c>
      <c r="J26" s="249" t="n">
        <v>0.03</v>
      </c>
    </row>
    <row r="27" customFormat="false" ht="16.5" hidden="false" customHeight="true" outlineLevel="0" collapsed="false">
      <c r="B27" s="217"/>
      <c r="C27" s="217" t="s">
        <v>248</v>
      </c>
      <c r="D27" s="249" t="n">
        <v>0.05</v>
      </c>
      <c r="E27" s="249" t="n">
        <v>0.04</v>
      </c>
      <c r="F27" s="248" t="n">
        <v>0.035</v>
      </c>
      <c r="G27" s="249" t="n">
        <v>0.03</v>
      </c>
      <c r="H27" s="249" t="n">
        <v>0.025</v>
      </c>
      <c r="I27" s="249" t="n">
        <v>0.02</v>
      </c>
      <c r="J27" s="248" t="n">
        <v>0.015</v>
      </c>
    </row>
    <row r="28" customFormat="false" ht="16.5" hidden="false" customHeight="true" outlineLevel="0" collapsed="false">
      <c r="B28" s="217"/>
      <c r="C28" s="217" t="s">
        <v>305</v>
      </c>
      <c r="D28" s="249" t="n">
        <v>0.036</v>
      </c>
      <c r="E28" s="249" t="n">
        <v>0.036</v>
      </c>
      <c r="F28" s="249" t="n">
        <v>0.036</v>
      </c>
      <c r="G28" s="249" t="n">
        <v>0.036</v>
      </c>
      <c r="H28" s="249" t="n">
        <v>0.036</v>
      </c>
      <c r="I28" s="249" t="n">
        <v>0.036</v>
      </c>
      <c r="J28" s="249" t="n">
        <v>0.036</v>
      </c>
    </row>
    <row r="29" customFormat="false" ht="19.5" hidden="false" customHeight="true" outlineLevel="0" collapsed="false">
      <c r="B29" s="117" t="s">
        <v>306</v>
      </c>
      <c r="C29" s="117"/>
      <c r="D29" s="250" t="n">
        <f aca="false">(((1+D22+D20+D23)*(1+D21)*(1+D24))/(1-(D25+D26+D27+D28))-1)</f>
        <v>0.314192432068376</v>
      </c>
      <c r="E29" s="250" t="n">
        <f aca="false">(((1+E22+E20+E23)*(1+E21)*(1+E24))/(1-(E25+E26+E27+E28))-1)</f>
        <v>0.299384630016901</v>
      </c>
      <c r="F29" s="250" t="n">
        <f aca="false">(((1+F22+F20+F23)*(1+F21)*(1+F24))/(1-(F25+F26+F27+F28))-1)</f>
        <v>0.292105164302521</v>
      </c>
      <c r="G29" s="250" t="n">
        <f aca="false">(((1+G22+G20+G23)*(1+G21)*(1+G24))/(1-(G25+G26+G27+G28))-1)</f>
        <v>0.284906806841226</v>
      </c>
      <c r="H29" s="250" t="n">
        <f aca="false">(((1+H22+H20+H23)*(1+H21)*(1+H24))/(1-(H25+H26+H27+H28))-1)</f>
        <v>0.277788209573407</v>
      </c>
      <c r="I29" s="250" t="n">
        <f aca="false">(((1+I22+I20+I23)*(1+I21)*(1+I24))/(1-(I25+I26+I27+I28))-1)</f>
        <v>0.27074805414876</v>
      </c>
      <c r="J29" s="250" t="n">
        <f aca="false">(((1+J22+J20+J23)*(1+J21)*(1+J24))/(1-(J25+J26+J27+J28))-1)</f>
        <v>0.263785051112329</v>
      </c>
    </row>
    <row r="30" customFormat="false" ht="19.5" hidden="false" customHeight="true" outlineLevel="0" collapsed="false">
      <c r="B30" s="251" t="s">
        <v>307</v>
      </c>
      <c r="C30" s="251"/>
      <c r="D30" s="252" t="n">
        <f aca="false">ROUND(D29,4)</f>
        <v>0.3142</v>
      </c>
      <c r="E30" s="252" t="n">
        <f aca="false">ROUND(E29,4)</f>
        <v>0.2994</v>
      </c>
      <c r="F30" s="252" t="n">
        <f aca="false">ROUND(F29,4)</f>
        <v>0.2921</v>
      </c>
      <c r="G30" s="252" t="n">
        <f aca="false">ROUND(G29,4)</f>
        <v>0.2849</v>
      </c>
      <c r="H30" s="252" t="n">
        <f aca="false">ROUND(H29,4)</f>
        <v>0.2778</v>
      </c>
      <c r="I30" s="252" t="n">
        <f aca="false">ROUND(I29,4)</f>
        <v>0.2707</v>
      </c>
      <c r="J30" s="252" t="n">
        <f aca="false">ROUND(J29,4)</f>
        <v>0.2638</v>
      </c>
    </row>
    <row r="31" customFormat="false" ht="24.75" hidden="false" customHeight="true" outlineLevel="0" collapsed="false">
      <c r="B31" s="253"/>
      <c r="C31" s="253"/>
      <c r="D31" s="85"/>
      <c r="E31" s="85"/>
      <c r="F31" s="85"/>
      <c r="G31" s="85"/>
      <c r="H31" s="85"/>
      <c r="I31" s="85"/>
      <c r="J31" s="85"/>
    </row>
    <row r="32" customFormat="false" ht="16.5" hidden="false" customHeight="true" outlineLevel="0" collapsed="false">
      <c r="B32" s="34" t="s">
        <v>308</v>
      </c>
      <c r="C32" s="34"/>
      <c r="D32" s="240" t="s">
        <v>248</v>
      </c>
      <c r="E32" s="240" t="s">
        <v>248</v>
      </c>
      <c r="F32" s="240" t="s">
        <v>248</v>
      </c>
      <c r="G32" s="241" t="s">
        <v>248</v>
      </c>
      <c r="H32" s="242" t="s">
        <v>248</v>
      </c>
      <c r="I32" s="242" t="s">
        <v>248</v>
      </c>
      <c r="J32" s="242" t="s">
        <v>248</v>
      </c>
    </row>
    <row r="33" customFormat="false" ht="16.5" hidden="false" customHeight="true" outlineLevel="0" collapsed="false">
      <c r="B33" s="34"/>
      <c r="C33" s="34"/>
      <c r="D33" s="243" t="n">
        <v>0.05</v>
      </c>
      <c r="E33" s="243" t="n">
        <v>0.04</v>
      </c>
      <c r="F33" s="243" t="n">
        <v>0.035</v>
      </c>
      <c r="G33" s="244" t="n">
        <v>0.03</v>
      </c>
      <c r="H33" s="245" t="n">
        <v>0.025</v>
      </c>
      <c r="I33" s="245" t="n">
        <v>0.02</v>
      </c>
      <c r="J33" s="245" t="n">
        <v>0.015</v>
      </c>
    </row>
    <row r="34" customFormat="false" ht="16.5" hidden="false" customHeight="true" outlineLevel="0" collapsed="false">
      <c r="B34" s="217" t="s">
        <v>293</v>
      </c>
      <c r="C34" s="246" t="s">
        <v>294</v>
      </c>
      <c r="D34" s="248" t="n">
        <v>0.0345</v>
      </c>
      <c r="E34" s="248" t="n">
        <v>0.0345</v>
      </c>
      <c r="F34" s="248" t="n">
        <v>0.0345</v>
      </c>
      <c r="G34" s="248" t="n">
        <v>0.0345</v>
      </c>
      <c r="H34" s="248" t="n">
        <v>0.0345</v>
      </c>
      <c r="I34" s="248" t="n">
        <v>0.0345</v>
      </c>
      <c r="J34" s="248" t="n">
        <v>0.0345</v>
      </c>
    </row>
    <row r="35" customFormat="false" ht="16.5" hidden="false" customHeight="true" outlineLevel="0" collapsed="false">
      <c r="B35" s="217" t="s">
        <v>295</v>
      </c>
      <c r="C35" s="224" t="s">
        <v>296</v>
      </c>
      <c r="D35" s="248" t="n">
        <v>0.0085</v>
      </c>
      <c r="E35" s="248" t="n">
        <v>0.0085</v>
      </c>
      <c r="F35" s="248" t="n">
        <v>0.0085</v>
      </c>
      <c r="G35" s="248" t="n">
        <v>0.0085</v>
      </c>
      <c r="H35" s="248" t="n">
        <v>0.0085</v>
      </c>
      <c r="I35" s="248" t="n">
        <v>0.0085</v>
      </c>
      <c r="J35" s="248" t="n">
        <v>0.0085</v>
      </c>
    </row>
    <row r="36" customFormat="false" ht="16.5" hidden="false" customHeight="true" outlineLevel="0" collapsed="false">
      <c r="B36" s="217" t="s">
        <v>297</v>
      </c>
      <c r="C36" s="224" t="s">
        <v>298</v>
      </c>
      <c r="D36" s="248" t="n">
        <v>0.0048</v>
      </c>
      <c r="E36" s="248" t="n">
        <v>0.0048</v>
      </c>
      <c r="F36" s="248" t="n">
        <v>0.0048</v>
      </c>
      <c r="G36" s="248" t="n">
        <v>0.0048</v>
      </c>
      <c r="H36" s="248" t="n">
        <v>0.0048</v>
      </c>
      <c r="I36" s="248" t="n">
        <v>0.0048</v>
      </c>
      <c r="J36" s="248" t="n">
        <v>0.0048</v>
      </c>
    </row>
    <row r="37" customFormat="false" ht="16.5" hidden="false" customHeight="true" outlineLevel="0" collapsed="false">
      <c r="B37" s="217" t="s">
        <v>299</v>
      </c>
      <c r="C37" s="224" t="s">
        <v>300</v>
      </c>
      <c r="D37" s="248" t="n">
        <v>0.0085</v>
      </c>
      <c r="E37" s="248" t="n">
        <v>0.0085</v>
      </c>
      <c r="F37" s="248" t="n">
        <v>0.0085</v>
      </c>
      <c r="G37" s="248" t="n">
        <v>0.0085</v>
      </c>
      <c r="H37" s="248" t="n">
        <v>0.0085</v>
      </c>
      <c r="I37" s="248" t="n">
        <v>0.0085</v>
      </c>
      <c r="J37" s="248" t="n">
        <v>0.0085</v>
      </c>
    </row>
    <row r="38" customFormat="false" ht="16.5" hidden="false" customHeight="true" outlineLevel="0" collapsed="false">
      <c r="B38" s="217" t="s">
        <v>301</v>
      </c>
      <c r="C38" s="224" t="s">
        <v>302</v>
      </c>
      <c r="D38" s="248" t="n">
        <v>0.0511</v>
      </c>
      <c r="E38" s="248" t="n">
        <v>0.0511</v>
      </c>
      <c r="F38" s="248" t="n">
        <v>0.0511</v>
      </c>
      <c r="G38" s="248" t="n">
        <v>0.0511</v>
      </c>
      <c r="H38" s="248" t="n">
        <v>0.0511</v>
      </c>
      <c r="I38" s="248" t="n">
        <v>0.0511</v>
      </c>
      <c r="J38" s="248" t="n">
        <v>0.0511</v>
      </c>
    </row>
    <row r="39" customFormat="false" ht="16.5" hidden="false" customHeight="true" outlineLevel="0" collapsed="false">
      <c r="B39" s="217" t="s">
        <v>198</v>
      </c>
      <c r="C39" s="224" t="s">
        <v>303</v>
      </c>
      <c r="D39" s="248" t="n">
        <v>0.0065</v>
      </c>
      <c r="E39" s="248" t="n">
        <v>0.0065</v>
      </c>
      <c r="F39" s="248" t="n">
        <v>0.0065</v>
      </c>
      <c r="G39" s="248" t="n">
        <v>0.0065</v>
      </c>
      <c r="H39" s="248" t="n">
        <v>0.0065</v>
      </c>
      <c r="I39" s="248" t="n">
        <v>0.0065</v>
      </c>
      <c r="J39" s="248" t="n">
        <v>0.0065</v>
      </c>
    </row>
    <row r="40" customFormat="false" ht="16.5" hidden="false" customHeight="true" outlineLevel="0" collapsed="false">
      <c r="B40" s="217"/>
      <c r="C40" s="217" t="s">
        <v>304</v>
      </c>
      <c r="D40" s="249" t="n">
        <v>0.03</v>
      </c>
      <c r="E40" s="249" t="n">
        <v>0.03</v>
      </c>
      <c r="F40" s="249" t="n">
        <v>0.03</v>
      </c>
      <c r="G40" s="249" t="n">
        <v>0.03</v>
      </c>
      <c r="H40" s="249" t="n">
        <v>0.03</v>
      </c>
      <c r="I40" s="249" t="n">
        <v>0.03</v>
      </c>
      <c r="J40" s="249" t="n">
        <v>0.03</v>
      </c>
    </row>
    <row r="41" customFormat="false" ht="16.5" hidden="false" customHeight="true" outlineLevel="0" collapsed="false">
      <c r="B41" s="217"/>
      <c r="C41" s="217" t="s">
        <v>248</v>
      </c>
      <c r="D41" s="249" t="n">
        <v>0</v>
      </c>
      <c r="E41" s="249" t="n">
        <v>0</v>
      </c>
      <c r="F41" s="248" t="n">
        <v>0</v>
      </c>
      <c r="G41" s="249" t="n">
        <v>0</v>
      </c>
      <c r="H41" s="249" t="n">
        <v>0</v>
      </c>
      <c r="I41" s="249" t="n">
        <v>0</v>
      </c>
      <c r="J41" s="248" t="n">
        <v>0</v>
      </c>
    </row>
    <row r="42" customFormat="false" ht="16.5" hidden="false" customHeight="true" outlineLevel="0" collapsed="false">
      <c r="B42" s="217"/>
      <c r="C42" s="217" t="s">
        <v>305</v>
      </c>
      <c r="D42" s="249" t="n">
        <v>0.036</v>
      </c>
      <c r="E42" s="249" t="n">
        <v>0.036</v>
      </c>
      <c r="F42" s="249" t="n">
        <v>0.036</v>
      </c>
      <c r="G42" s="249" t="n">
        <v>0.036</v>
      </c>
      <c r="H42" s="249" t="n">
        <v>0.036</v>
      </c>
      <c r="I42" s="249" t="n">
        <v>0.036</v>
      </c>
      <c r="J42" s="249" t="n">
        <v>0.036</v>
      </c>
    </row>
    <row r="43" customFormat="false" ht="16.5" hidden="false" customHeight="true" outlineLevel="0" collapsed="false">
      <c r="B43" s="136" t="s">
        <v>306</v>
      </c>
      <c r="C43" s="136"/>
      <c r="D43" s="250" t="n">
        <f aca="false">(((1+D36+D34+D37)*(1+D35)*(1+D38))/(1-(D39+D40+D41+D42))-1)</f>
        <v>0.197524519601078</v>
      </c>
      <c r="E43" s="250" t="n">
        <f aca="false">(((1+E36+E34+E37)*(1+E35)*(1+E38))/(1-(E39+E40+E41+E42))-1)</f>
        <v>0.197524519601078</v>
      </c>
      <c r="F43" s="250" t="n">
        <f aca="false">(((1+F36+F34+F37)*(1+F35)*(1+F38))/(1-(F39+F40+F41+F42))-1)</f>
        <v>0.197524519601078</v>
      </c>
      <c r="G43" s="250" t="n">
        <f aca="false">(((1+G36+G34+G37)*(1+G35)*(1+G38))/(1-(G39+G40+G41+G42))-1)</f>
        <v>0.197524519601078</v>
      </c>
      <c r="H43" s="250" t="n">
        <f aca="false">(((1+H36+H34+H37)*(1+H35)*(1+H38))/(1-(H39+H40+H41+H42))-1)</f>
        <v>0.197524519601078</v>
      </c>
      <c r="I43" s="250" t="n">
        <f aca="false">(((1+I36+I34+I37)*(1+I35)*(1+I38))/(1-(I39+I40+I41+I42))-1)</f>
        <v>0.197524519601078</v>
      </c>
      <c r="J43" s="250" t="n">
        <f aca="false">(((1+J36+J34+J37)*(1+J35)*(1+J38))/(1-(J39+J40+J41+J42))-1)</f>
        <v>0.197524519601078</v>
      </c>
    </row>
    <row r="44" customFormat="false" ht="19.5" hidden="false" customHeight="true" outlineLevel="0" collapsed="false">
      <c r="B44" s="254" t="s">
        <v>307</v>
      </c>
      <c r="C44" s="254"/>
      <c r="D44" s="252" t="n">
        <f aca="false">ROUND(D43,4)</f>
        <v>0.1975</v>
      </c>
      <c r="E44" s="252" t="n">
        <f aca="false">ROUND(E43,4)</f>
        <v>0.1975</v>
      </c>
      <c r="F44" s="252" t="n">
        <f aca="false">ROUND(F43,4)</f>
        <v>0.1975</v>
      </c>
      <c r="G44" s="252" t="n">
        <f aca="false">ROUND(G43,4)</f>
        <v>0.1975</v>
      </c>
      <c r="H44" s="252" t="n">
        <f aca="false">ROUND(H43,4)</f>
        <v>0.1975</v>
      </c>
      <c r="I44" s="252" t="n">
        <f aca="false">ROUND(I43,4)</f>
        <v>0.1975</v>
      </c>
      <c r="J44" s="252" t="n">
        <f aca="false">ROUND(J43,4)</f>
        <v>0.1975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4" activeCellId="0" sqref="H24"/>
    </sheetView>
  </sheetViews>
  <sheetFormatPr defaultColWidth="8.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8" width="9.12"/>
    <col collapsed="false" customWidth="true" hidden="false" outlineLevel="0" max="4" min="4" style="18" width="12.25"/>
    <col collapsed="false" customWidth="true" hidden="false" outlineLevel="0" max="5" min="5" style="18" width="13.62"/>
    <col collapsed="false" customWidth="true" hidden="false" outlineLevel="0" max="6" min="6" style="18" width="7"/>
    <col collapsed="false" customWidth="true" hidden="false" outlineLevel="0" max="7" min="7" style="18" width="11.88"/>
    <col collapsed="false" customWidth="true" hidden="false" outlineLevel="0" max="8" min="8" style="18" width="13.25"/>
    <col collapsed="false" customWidth="true" hidden="false" outlineLevel="0" max="9" min="9" style="18" width="12.76"/>
    <col collapsed="false" customWidth="true" hidden="false" outlineLevel="0" max="11" min="10" style="18" width="13"/>
    <col collapsed="false" customWidth="true" hidden="false" outlineLevel="0" max="13" min="12" style="18" width="9.25"/>
    <col collapsed="false" customWidth="true" hidden="false" outlineLevel="0" max="248" min="14" style="18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VII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55" t="s">
        <v>41</v>
      </c>
      <c r="C4" s="256" t="s">
        <v>309</v>
      </c>
      <c r="D4" s="256" t="s">
        <v>310</v>
      </c>
      <c r="E4" s="256" t="s">
        <v>311</v>
      </c>
      <c r="F4" s="257"/>
      <c r="G4" s="256" t="s">
        <v>312</v>
      </c>
      <c r="H4" s="256" t="s">
        <v>313</v>
      </c>
      <c r="I4" s="256" t="s">
        <v>314</v>
      </c>
      <c r="J4" s="256" t="s">
        <v>315</v>
      </c>
      <c r="K4" s="256" t="s">
        <v>316</v>
      </c>
      <c r="L4" s="256" t="s">
        <v>317</v>
      </c>
      <c r="M4" s="256" t="s">
        <v>318</v>
      </c>
    </row>
    <row r="5" customFormat="false" ht="15" hidden="false" customHeight="true" outlineLevel="0" collapsed="false">
      <c r="B5" s="111" t="str">
        <f aca="false">'Base Porto Alegre'!B7</f>
        <v>APS ESTEIO</v>
      </c>
      <c r="C5" s="258" t="n">
        <f aca="false">VLOOKUP(B5,Unidades!$D$5:$G$27,4,)</f>
        <v>0.02</v>
      </c>
      <c r="D5" s="259" t="n">
        <f aca="false">'Base Porto Alegre'!AD7*12+'Base Porto Alegre'!AE7*4+'Base Porto Alegre'!AF7*2+'Base Porto Alegre'!AG7</f>
        <v>10334.3237026192</v>
      </c>
      <c r="E5" s="259" t="n">
        <f aca="false">'Base Porto Alegre'!AK7*12+'Base Porto Alegre'!AL7*4+'Base Porto Alegre'!AM7*2+'Base Porto Alegre'!AN7</f>
        <v>13131.8251289182</v>
      </c>
      <c r="G5" s="249" t="n">
        <v>0.02</v>
      </c>
      <c r="H5" s="260" t="n">
        <f aca="false">SUMIF(C$5:C$26,G5,D$5:D$26)</f>
        <v>79033.6015702868</v>
      </c>
      <c r="I5" s="260" t="n">
        <f aca="false">SUMIF(C$5:C$26,G5,E$5:E$26)</f>
        <v>100427.997515363</v>
      </c>
      <c r="J5" s="260" t="n">
        <f aca="false">H5*4</f>
        <v>316134.406281147</v>
      </c>
      <c r="K5" s="260" t="n">
        <f aca="false">I5*4</f>
        <v>401711.990061454</v>
      </c>
      <c r="L5" s="261" t="n">
        <f aca="false">H5/H$13</f>
        <v>0.262930320717185</v>
      </c>
      <c r="M5" s="261" t="n">
        <f aca="false">I5/I$13</f>
        <v>0.25940153267535</v>
      </c>
    </row>
    <row r="6" customFormat="false" ht="15" hidden="false" customHeight="true" outlineLevel="0" collapsed="false">
      <c r="B6" s="111" t="str">
        <f aca="false">'Base Porto Alegre'!B9</f>
        <v>APS GRAVATAÍ</v>
      </c>
      <c r="C6" s="258" t="n">
        <f aca="false">VLOOKUP(B6,Unidades!$D$5:$G$27,4,)</f>
        <v>0.025</v>
      </c>
      <c r="D6" s="259" t="n">
        <f aca="false">'Base Porto Alegre'!AD9*12+'Base Porto Alegre'!AE9*4+'Base Porto Alegre'!AF9*2+'Base Porto Alegre'!AG9</f>
        <v>10563.5547984859</v>
      </c>
      <c r="E6" s="259" t="n">
        <f aca="false">'Base Porto Alegre'!AK9*12+'Base Porto Alegre'!AL9*4+'Base Porto Alegre'!AM9*2+'Base Porto Alegre'!AN9</f>
        <v>13498.1103215053</v>
      </c>
      <c r="G6" s="249" t="n">
        <v>0.025</v>
      </c>
      <c r="H6" s="260" t="n">
        <f aca="false">SUMIF(C$5:C$26,G6,D$5:D$26)</f>
        <v>10563.5547984859</v>
      </c>
      <c r="I6" s="260" t="n">
        <f aca="false">SUMIF(C$5:C$26,G6,E$5:E$26)</f>
        <v>13498.1103215053</v>
      </c>
      <c r="J6" s="260" t="n">
        <f aca="false">H6*4</f>
        <v>42254.2191939435</v>
      </c>
      <c r="K6" s="260" t="n">
        <f aca="false">I6*4</f>
        <v>53992.441286021</v>
      </c>
      <c r="L6" s="261" t="n">
        <f aca="false">H6/H$13</f>
        <v>0.0351430125401708</v>
      </c>
      <c r="M6" s="261" t="n">
        <f aca="false">I6/I$13</f>
        <v>0.0348650833656598</v>
      </c>
    </row>
    <row r="7" customFormat="false" ht="15" hidden="false" customHeight="true" outlineLevel="0" collapsed="false">
      <c r="B7" s="111" t="str">
        <f aca="false">'Base Porto Alegre'!B10</f>
        <v>APS GUAÍBA</v>
      </c>
      <c r="C7" s="258" t="n">
        <f aca="false">VLOOKUP(B7,Unidades!$D$5:$G$27,4,)</f>
        <v>0.02</v>
      </c>
      <c r="D7" s="259" t="n">
        <f aca="false">'Base Porto Alegre'!AD10*12+'Base Porto Alegre'!AE10*4+'Base Porto Alegre'!AF10*2+'Base Porto Alegre'!AG10</f>
        <v>9663.72169749607</v>
      </c>
      <c r="E7" s="259" t="n">
        <f aca="false">'Base Porto Alegre'!AK10*12+'Base Porto Alegre'!AL10*4+'Base Porto Alegre'!AM10*2+'Base Porto Alegre'!AN10</f>
        <v>12279.6911610083</v>
      </c>
      <c r="G7" s="249" t="n">
        <v>0.03</v>
      </c>
      <c r="H7" s="260" t="n">
        <f aca="false">SUMIF(C$5:C$26,G7,D$5:D$26)</f>
        <v>57993.4825351926</v>
      </c>
      <c r="I7" s="260" t="n">
        <f aca="false">SUMIF(C$5:C$26,G7,E$5:E$26)</f>
        <v>74515.825709469</v>
      </c>
      <c r="J7" s="260" t="n">
        <f aca="false">H7*4</f>
        <v>231973.93014077</v>
      </c>
      <c r="K7" s="260" t="n">
        <f aca="false">I7*4</f>
        <v>298063.302837876</v>
      </c>
      <c r="L7" s="261" t="n">
        <f aca="false">H7/H$13</f>
        <v>0.192933697307517</v>
      </c>
      <c r="M7" s="261" t="n">
        <f aca="false">I7/I$13</f>
        <v>0.192471421076065</v>
      </c>
    </row>
    <row r="8" customFormat="false" ht="15" hidden="false" customHeight="true" outlineLevel="0" collapsed="false">
      <c r="B8" s="111" t="str">
        <f aca="false">'Base Porto Alegre'!B11</f>
        <v>CEDOCPREV CANOAS</v>
      </c>
      <c r="C8" s="258" t="n">
        <f aca="false">VLOOKUP(B8,Unidades!$D$5:$G$27,4,)</f>
        <v>0.03</v>
      </c>
      <c r="D8" s="259" t="n">
        <f aca="false">'Base Porto Alegre'!AD11*12+'Base Porto Alegre'!AE11*4+'Base Porto Alegre'!AF11*2+'Base Porto Alegre'!AG11</f>
        <v>6146.17136402714</v>
      </c>
      <c r="E8" s="259" t="n">
        <f aca="false">'Base Porto Alegre'!AK11*12+'Base Porto Alegre'!AL11*4+'Base Porto Alegre'!AM11*2+'Base Porto Alegre'!AN11</f>
        <v>7897.21558563848</v>
      </c>
      <c r="G8" s="249" t="n">
        <v>0.035</v>
      </c>
      <c r="H8" s="260" t="n">
        <f aca="false">SUMIF(C$5:C$26,G8,D$5:D$26)</f>
        <v>12814.5101200253</v>
      </c>
      <c r="I8" s="260" t="n">
        <f aca="false">SUMIF(C$5:C$26,G8,E$5:E$26)</f>
        <v>16557.6285260847</v>
      </c>
      <c r="J8" s="260" t="n">
        <f aca="false">H8*4</f>
        <v>51258.0404801011</v>
      </c>
      <c r="K8" s="260" t="n">
        <f aca="false">I8*4</f>
        <v>66230.5141043386</v>
      </c>
      <c r="L8" s="261" t="n">
        <f aca="false">H8/H$13</f>
        <v>0.0426315287263661</v>
      </c>
      <c r="M8" s="261" t="n">
        <f aca="false">I8/I$13</f>
        <v>0.0427676974887246</v>
      </c>
    </row>
    <row r="9" s="31" customFormat="true" ht="15" hidden="false" customHeight="true" outlineLevel="0" collapsed="false">
      <c r="B9" s="111" t="str">
        <f aca="false">'Base Porto Alegre'!B12</f>
        <v>DEPÓSITO ESTEIO</v>
      </c>
      <c r="C9" s="258" t="n">
        <f aca="false">VLOOKUP(B9,Unidades!$D$5:$G$27,4,)</f>
        <v>0.02</v>
      </c>
      <c r="D9" s="259" t="n">
        <f aca="false">'Base Porto Alegre'!AD12*12+'Base Porto Alegre'!AE12*4+'Base Porto Alegre'!AF12*2+'Base Porto Alegre'!AG12</f>
        <v>6302.46529302714</v>
      </c>
      <c r="E9" s="259" t="n">
        <f aca="false">'Base Porto Alegre'!AK12*12+'Base Porto Alegre'!AL12*4+'Base Porto Alegre'!AM12*2+'Base Porto Alegre'!AN12</f>
        <v>8008.54264784959</v>
      </c>
      <c r="G9" s="249" t="n">
        <v>0.04</v>
      </c>
      <c r="H9" s="260" t="n">
        <f aca="false">SUMIF(C$5:C$26,G9,D$5:D$26)</f>
        <v>140182.479495649</v>
      </c>
      <c r="I9" s="260" t="n">
        <f aca="false">SUMIF(C$5:C$26,G9,E$5:E$26)</f>
        <v>182153.113856646</v>
      </c>
      <c r="J9" s="260" t="n">
        <f aca="false">H9*4</f>
        <v>560729.917982596</v>
      </c>
      <c r="K9" s="260" t="n">
        <f aca="false">I9*4</f>
        <v>728612.455426585</v>
      </c>
      <c r="L9" s="261" t="n">
        <f aca="false">H9/H$13</f>
        <v>0.466361440708761</v>
      </c>
      <c r="M9" s="261" t="n">
        <f aca="false">I9/I$13</f>
        <v>0.470494265394201</v>
      </c>
      <c r="IO9" s="35"/>
    </row>
    <row r="10" s="31" customFormat="true" ht="15" hidden="false" customHeight="true" outlineLevel="0" collapsed="false">
      <c r="B10" s="111" t="str">
        <f aca="false">'Base Porto Alegre'!B13</f>
        <v>GEX/APS CANOAS</v>
      </c>
      <c r="C10" s="258" t="n">
        <f aca="false">VLOOKUP(B10,Unidades!$D$5:$G$27,4,)</f>
        <v>0.03</v>
      </c>
      <c r="D10" s="259" t="n">
        <f aca="false">'Base Porto Alegre'!AD13*12+'Base Porto Alegre'!AE13*4+'Base Porto Alegre'!AF13*2+'Base Porto Alegre'!AG13</f>
        <v>13985.2526979484</v>
      </c>
      <c r="E10" s="259" t="n">
        <f aca="false">'Base Porto Alegre'!AK13*12+'Base Porto Alegre'!AL13*4+'Base Porto Alegre'!AM13*2+'Base Porto Alegre'!AN13</f>
        <v>17969.6511915939</v>
      </c>
      <c r="G10" s="249" t="n">
        <v>0.045</v>
      </c>
      <c r="H10" s="260" t="n">
        <f aca="false">SUMIF(C$5:C$26,G10,D$5:D$26)</f>
        <v>0</v>
      </c>
      <c r="I10" s="260" t="n">
        <f aca="false">SUMIF(C$5:C$26,G10,E$5:E$26)</f>
        <v>0</v>
      </c>
      <c r="J10" s="260" t="n">
        <f aca="false">H10*4</f>
        <v>0</v>
      </c>
      <c r="K10" s="260" t="n">
        <f aca="false">I10*4</f>
        <v>0</v>
      </c>
      <c r="L10" s="261" t="n">
        <f aca="false">H10/H$13</f>
        <v>0</v>
      </c>
      <c r="M10" s="261" t="n">
        <f aca="false">I10/I$13</f>
        <v>0</v>
      </c>
      <c r="IO10" s="35"/>
    </row>
    <row r="11" customFormat="false" ht="15" hidden="false" customHeight="true" outlineLevel="0" collapsed="false">
      <c r="B11" s="111" t="str">
        <f aca="false">'Base Porto Alegre'!B14</f>
        <v>APS ALVORADA</v>
      </c>
      <c r="C11" s="258" t="n">
        <f aca="false">VLOOKUP(B11,Unidades!$D$5:$G$27,4,)</f>
        <v>0.03</v>
      </c>
      <c r="D11" s="259" t="n">
        <f aca="false">'Base Porto Alegre'!AD14*12+'Base Porto Alegre'!AE14*4+'Base Porto Alegre'!AF14*2+'Base Porto Alegre'!AG14</f>
        <v>6823.44505636048</v>
      </c>
      <c r="E11" s="259" t="n">
        <f aca="false">'Base Porto Alegre'!AK14*12+'Base Porto Alegre'!AL14*4+'Base Porto Alegre'!AM14*2+'Base Porto Alegre'!AN14</f>
        <v>8767.44455291758</v>
      </c>
      <c r="G11" s="249" t="n">
        <v>0.05</v>
      </c>
      <c r="H11" s="260" t="n">
        <f aca="false">SUMIF(C$5:C$26,G11,D$5:D$26)</f>
        <v>0</v>
      </c>
      <c r="I11" s="260" t="n">
        <f aca="false">SUMIF(C$5:C$26,G11,E$5:E$26)</f>
        <v>0</v>
      </c>
      <c r="J11" s="260" t="n">
        <f aca="false">H11*4</f>
        <v>0</v>
      </c>
      <c r="K11" s="260" t="n">
        <f aca="false">I11*4</f>
        <v>0</v>
      </c>
      <c r="L11" s="261" t="n">
        <f aca="false">H11/H$13</f>
        <v>0</v>
      </c>
      <c r="M11" s="261" t="n">
        <f aca="false">I11/I$13</f>
        <v>0</v>
      </c>
    </row>
    <row r="12" customFormat="false" ht="15" hidden="false" customHeight="true" outlineLevel="0" collapsed="false">
      <c r="B12" s="111" t="str">
        <f aca="false">'Base Porto Alegre'!B15</f>
        <v>APS PORTO ALEGRE- CENTRO</v>
      </c>
      <c r="C12" s="258" t="n">
        <f aca="false">VLOOKUP(B12,Unidades!$D$5:$G$27,4,)</f>
        <v>0.04</v>
      </c>
      <c r="D12" s="259" t="n">
        <f aca="false">'Base Porto Alegre'!AD15*12+'Base Porto Alegre'!AE15*4+'Base Porto Alegre'!AF15*2+'Base Porto Alegre'!AG15</f>
        <v>9917.53989195255</v>
      </c>
      <c r="E12" s="259" t="n">
        <f aca="false">'Base Porto Alegre'!AK15*12+'Base Porto Alegre'!AL15*4+'Base Porto Alegre'!AM15*2+'Base Porto Alegre'!AN15</f>
        <v>12886.8513356031</v>
      </c>
      <c r="G12" s="19"/>
    </row>
    <row r="13" s="18" customFormat="true" ht="15" hidden="false" customHeight="true" outlineLevel="0" collapsed="false">
      <c r="B13" s="111" t="str">
        <f aca="false">'Base Porto Alegre'!B16</f>
        <v>APS PORTO ALEGRE-PARTENON</v>
      </c>
      <c r="C13" s="258" t="n">
        <f aca="false">VLOOKUP(B13,Unidades!$D$5:$G$27,4,)</f>
        <v>0.04</v>
      </c>
      <c r="D13" s="259" t="n">
        <f aca="false">'Base Porto Alegre'!AD16*12+'Base Porto Alegre'!AE16*4+'Base Porto Alegre'!AF16*2+'Base Porto Alegre'!AG16</f>
        <v>47989.7691352446</v>
      </c>
      <c r="E13" s="259" t="n">
        <f aca="false">'Base Porto Alegre'!AK16*12+'Base Porto Alegre'!AL16*4+'Base Porto Alegre'!AM16*2+'Base Porto Alegre'!AN16</f>
        <v>62357.9060143368</v>
      </c>
      <c r="G13" s="256" t="s">
        <v>100</v>
      </c>
      <c r="H13" s="262" t="n">
        <f aca="false">SUM(H5:H11)</f>
        <v>300587.62851964</v>
      </c>
      <c r="I13" s="262" t="n">
        <f aca="false">SUM(I5:I11)</f>
        <v>387152.675929069</v>
      </c>
      <c r="J13" s="262" t="n">
        <f aca="false">SUM(J5:J11)</f>
        <v>1202350.51407856</v>
      </c>
      <c r="K13" s="262" t="n">
        <f aca="false">SUM(K5:K11)</f>
        <v>1548610.70371627</v>
      </c>
      <c r="L13" s="263" t="n">
        <f aca="false">SUM(L5:L11)</f>
        <v>1</v>
      </c>
      <c r="M13" s="263" t="n">
        <f aca="false">SUM(M5:M11)</f>
        <v>1</v>
      </c>
    </row>
    <row r="14" s="18" customFormat="true" ht="15" hidden="false" customHeight="true" outlineLevel="0" collapsed="false">
      <c r="B14" s="111" t="str">
        <f aca="false">'Base Porto Alegre'!B17</f>
        <v>APS PORTO ALEGRE-SUL</v>
      </c>
      <c r="C14" s="258" t="n">
        <f aca="false">VLOOKUP(B14,Unidades!$D$5:$G$27,4,)</f>
        <v>0.04</v>
      </c>
      <c r="D14" s="259" t="n">
        <f aca="false">'Base Porto Alegre'!AD17*12+'Base Porto Alegre'!AE17*4+'Base Porto Alegre'!AF17*2+'Base Porto Alegre'!AG17</f>
        <v>7259.96966253146</v>
      </c>
      <c r="E14" s="259" t="n">
        <f aca="false">'Base Porto Alegre'!AK17*12+'Base Porto Alegre'!AL17*4+'Base Porto Alegre'!AM17*2+'Base Porto Alegre'!AN17</f>
        <v>9433.60457949338</v>
      </c>
    </row>
    <row r="15" s="18" customFormat="true" ht="15" hidden="false" customHeight="true" outlineLevel="0" collapsed="false">
      <c r="B15" s="111" t="str">
        <f aca="false">'Base Porto Alegre'!B18</f>
        <v>CEDOCPREV PORTO ALEGRE</v>
      </c>
      <c r="C15" s="258" t="n">
        <f aca="false">VLOOKUP(B15,Unidades!$D$5:$G$27,4,)</f>
        <v>0.04</v>
      </c>
      <c r="D15" s="259" t="n">
        <f aca="false">'Base Porto Alegre'!AD18*12+'Base Porto Alegre'!AE18*4+'Base Porto Alegre'!AF18*2+'Base Porto Alegre'!AG18</f>
        <v>10355.1628931525</v>
      </c>
      <c r="E15" s="259" t="n">
        <f aca="false">'Base Porto Alegre'!AK18*12+'Base Porto Alegre'!AL18*4+'Base Porto Alegre'!AM18*2+'Base Porto Alegre'!AN18</f>
        <v>13455.4986633624</v>
      </c>
    </row>
    <row r="16" s="18" customFormat="true" ht="15" hidden="false" customHeight="true" outlineLevel="0" collapsed="false">
      <c r="B16" s="111" t="str">
        <f aca="false">'Base Porto Alegre'!B19</f>
        <v>GEX PORTO ALEGRE</v>
      </c>
      <c r="C16" s="258" t="n">
        <f aca="false">VLOOKUP(B16,Unidades!$D$5:$G$27,4,)</f>
        <v>0.04</v>
      </c>
      <c r="D16" s="259" t="n">
        <f aca="false">'Base Porto Alegre'!AD19*12+'Base Porto Alegre'!AE19*4+'Base Porto Alegre'!AF19*2+'Base Porto Alegre'!AG19</f>
        <v>47802.2164204446</v>
      </c>
      <c r="E16" s="259" t="n">
        <f aca="false">'Base Porto Alegre'!AK19*12+'Base Porto Alegre'!AL19*4+'Base Porto Alegre'!AM19*2+'Base Porto Alegre'!AN19</f>
        <v>62114.2000167257</v>
      </c>
    </row>
    <row r="17" s="18" customFormat="true" ht="15" hidden="false" customHeight="true" outlineLevel="0" collapsed="false">
      <c r="B17" s="111" t="str">
        <f aca="false">'Base Porto Alegre'!B20</f>
        <v>IPASE PORTO ALEGRE</v>
      </c>
      <c r="C17" s="258" t="n">
        <f aca="false">VLOOKUP(B17,Unidades!$D$5:$G$27,4,)</f>
        <v>0.04</v>
      </c>
      <c r="D17" s="259" t="n">
        <f aca="false">'Base Porto Alegre'!AD20*12+'Base Porto Alegre'!AE20*4+'Base Porto Alegre'!AF20*2+'Base Porto Alegre'!AG20</f>
        <v>8538.40540869607</v>
      </c>
      <c r="E17" s="259" t="n">
        <f aca="false">'Base Porto Alegre'!AK20*12+'Base Porto Alegre'!AL20*4+'Base Porto Alegre'!AM20*2+'Base Porto Alegre'!AN20</f>
        <v>11094.8039880597</v>
      </c>
    </row>
    <row r="18" s="18" customFormat="true" ht="15" hidden="false" customHeight="true" outlineLevel="0" collapsed="false">
      <c r="B18" s="111" t="str">
        <f aca="false">'Base Pelotas'!B7</f>
        <v>APS CAMAQUÃ</v>
      </c>
      <c r="C18" s="258" t="n">
        <f aca="false">VLOOKUP(B18,Unidades!$D$5:$G$27,4,)</f>
        <v>0.02</v>
      </c>
      <c r="D18" s="259" t="n">
        <f aca="false">'Base Pelotas'!AD7*12+'Base Pelotas'!AE7*4+'Base Pelotas'!AF7*2+'Base Pelotas'!AG7</f>
        <v>13976.5624081981</v>
      </c>
      <c r="E18" s="259" t="n">
        <f aca="false">'Base Pelotas'!AK7*12+'Base Pelotas'!AL7*4+'Base Pelotas'!AM7*2+'Base Pelotas'!AN7</f>
        <v>17760.0178520974</v>
      </c>
    </row>
    <row r="19" s="31" customFormat="true" ht="15" hidden="false" customHeight="true" outlineLevel="0" collapsed="false">
      <c r="B19" s="111" t="str">
        <f aca="false">'Base Pelotas'!B8</f>
        <v>APS CAPÃO DO LEÃO</v>
      </c>
      <c r="C19" s="258" t="n">
        <f aca="false">VLOOKUP(B19,Unidades!$D$5:$G$27,4,)</f>
        <v>0.02</v>
      </c>
      <c r="D19" s="259" t="n">
        <f aca="false">'Base Pelotas'!AD8*12+'Base Pelotas'!AE8*4+'Base Pelotas'!AF8*2+'Base Pelotas'!AG8</f>
        <v>6167.01055456048</v>
      </c>
      <c r="E19" s="259" t="n">
        <f aca="false">'Base Pelotas'!AK8*12+'Base Pelotas'!AL8*4+'Base Pelotas'!AM8*2+'Base Pelotas'!AN8</f>
        <v>7836.42031168</v>
      </c>
    </row>
    <row r="20" s="18" customFormat="true" ht="15" hidden="false" customHeight="true" outlineLevel="0" collapsed="false">
      <c r="B20" s="111" t="str">
        <f aca="false">'Base Pelotas'!B9</f>
        <v>APS JAGUARÃO</v>
      </c>
      <c r="C20" s="258" t="n">
        <f aca="false">VLOOKUP(B20,Unidades!$D$5:$G$27,4,)</f>
        <v>0.02</v>
      </c>
      <c r="D20" s="259" t="n">
        <f aca="false">'Base Pelotas'!AD9*12+'Base Pelotas'!AE9*4+'Base Pelotas'!AF9*2+'Base Pelotas'!AG9</f>
        <v>10906.8280058648</v>
      </c>
      <c r="E20" s="259" t="n">
        <f aca="false">'Base Pelotas'!AK9*12+'Base Pelotas'!AL9*4+'Base Pelotas'!AM9*2+'Base Pelotas'!AN9</f>
        <v>13859.3063470524</v>
      </c>
    </row>
    <row r="21" customFormat="false" ht="15" hidden="false" customHeight="true" outlineLevel="0" collapsed="false">
      <c r="B21" s="111" t="str">
        <f aca="false">'Base Pelotas'!B10</f>
        <v>APS RIO GRANDE</v>
      </c>
      <c r="C21" s="258" t="n">
        <f aca="false">VLOOKUP(B21,Unidades!$D$5:$G$27,4,)</f>
        <v>0.03</v>
      </c>
      <c r="D21" s="259" t="n">
        <f aca="false">'Base Pelotas'!AD10*12+'Base Pelotas'!AE10*4+'Base Pelotas'!AF10*2+'Base Pelotas'!AG10</f>
        <v>11159.6927247627</v>
      </c>
      <c r="E21" s="259" t="n">
        <f aca="false">'Base Pelotas'!AK10*12+'Base Pelotas'!AL10*4+'Base Pelotas'!AM10*2+'Base Pelotas'!AN10</f>
        <v>14339.0891820476</v>
      </c>
    </row>
    <row r="22" customFormat="false" ht="15" hidden="false" customHeight="true" outlineLevel="0" collapsed="false">
      <c r="B22" s="111" t="str">
        <f aca="false">'Base Pelotas'!B11</f>
        <v>APS SANTA VITÓRIA DO PALMAR</v>
      </c>
      <c r="C22" s="258" t="n">
        <f aca="false">VLOOKUP(B22,Unidades!$D$5:$G$27,4,)</f>
        <v>0.03</v>
      </c>
      <c r="D22" s="259" t="n">
        <f aca="false">'Base Pelotas'!AD11*12+'Base Pelotas'!AE11*4+'Base Pelotas'!AF11*2+'Base Pelotas'!AG11</f>
        <v>19878.9206920938</v>
      </c>
      <c r="E22" s="259" t="n">
        <f aca="false">'Base Pelotas'!AK11*12+'Base Pelotas'!AL11*4+'Base Pelotas'!AM11*2+'Base Pelotas'!AN11</f>
        <v>25542.4251972713</v>
      </c>
    </row>
    <row r="23" customFormat="false" ht="15" hidden="false" customHeight="true" outlineLevel="0" collapsed="false">
      <c r="B23" s="111" t="str">
        <f aca="false">'Base Pelotas'!B12</f>
        <v>APS SÃO JOSÉ DO NORTE</v>
      </c>
      <c r="C23" s="258" t="n">
        <f aca="false">VLOOKUP(B23,Unidades!$D$5:$G$27,4,)</f>
        <v>0.04</v>
      </c>
      <c r="D23" s="259" t="n">
        <f aca="false">'Base Pelotas'!AD12*12+'Base Pelotas'!AE12*4+'Base Pelotas'!AF12*2+'Base Pelotas'!AG12</f>
        <v>8319.41608362714</v>
      </c>
      <c r="E23" s="259" t="n">
        <f aca="false">'Base Pelotas'!AK12*12+'Base Pelotas'!AL12*4+'Base Pelotas'!AM12*2+'Base Pelotas'!AN12</f>
        <v>10810.2492590651</v>
      </c>
    </row>
    <row r="24" customFormat="false" ht="15" hidden="false" customHeight="true" outlineLevel="0" collapsed="false">
      <c r="B24" s="111" t="str">
        <f aca="false">'Base Pelotas'!B13</f>
        <v>APS SÃO LOURENÇO DO SUL</v>
      </c>
      <c r="C24" s="258" t="n">
        <f aca="false">VLOOKUP(B24,Unidades!$D$5:$G$27,4,)</f>
        <v>0.02</v>
      </c>
      <c r="D24" s="259" t="n">
        <f aca="false">'Base Pelotas'!AD13*12+'Base Pelotas'!AE13*4+'Base Pelotas'!AF13*2+'Base Pelotas'!AG13</f>
        <v>8642.79267929381</v>
      </c>
      <c r="E24" s="259" t="n">
        <f aca="false">'Base Pelotas'!AK13*12+'Base Pelotas'!AL13*4+'Base Pelotas'!AM13*2+'Base Pelotas'!AN13</f>
        <v>10982.3966575786</v>
      </c>
    </row>
    <row r="25" customFormat="false" ht="15" hidden="false" customHeight="true" outlineLevel="0" collapsed="false">
      <c r="B25" s="111" t="str">
        <f aca="false">'Base Pelotas'!B14</f>
        <v>APS TAPES</v>
      </c>
      <c r="C25" s="258" t="n">
        <f aca="false">VLOOKUP(B25,Unidades!$D$5:$G$27,4,)</f>
        <v>0.02</v>
      </c>
      <c r="D25" s="259" t="n">
        <f aca="false">'Base Pelotas'!AD14*12+'Base Pelotas'!AE14*4+'Base Pelotas'!AF14*2+'Base Pelotas'!AG14</f>
        <v>13039.8972292271</v>
      </c>
      <c r="E25" s="259" t="n">
        <f aca="false">'Base Pelotas'!AK14*12+'Base Pelotas'!AL14*4+'Base Pelotas'!AM14*2+'Base Pelotas'!AN14</f>
        <v>16569.7974091789</v>
      </c>
    </row>
    <row r="26" customFormat="false" ht="15" hidden="false" customHeight="true" outlineLevel="0" collapsed="false">
      <c r="B26" s="111" t="str">
        <f aca="false">'Base Pelotas'!B15</f>
        <v>GEX/APS PELOTAS</v>
      </c>
      <c r="C26" s="258" t="n">
        <f aca="false">VLOOKUP(B26,Unidades!$D$5:$G$27,4,)</f>
        <v>0.035</v>
      </c>
      <c r="D26" s="259" t="n">
        <f aca="false">'Base Pelotas'!AD15*12+'Base Pelotas'!AE15*4+'Base Pelotas'!AF15*2+'Base Pelotas'!AG15</f>
        <v>12814.5101200253</v>
      </c>
      <c r="E26" s="259" t="n">
        <f aca="false">'Base Pelotas'!AK15*12+'Base Pelotas'!AL15*4+'Base Pelotas'!AM15*2+'Base Pelotas'!AN15</f>
        <v>16557.6285260847</v>
      </c>
    </row>
    <row r="27" customFormat="false" ht="15" hidden="false" customHeight="true" outlineLevel="0" collapsed="false">
      <c r="B27" s="255" t="s">
        <v>100</v>
      </c>
      <c r="C27" s="255"/>
      <c r="D27" s="264" t="n">
        <f aca="false">SUM(D5:D26)</f>
        <v>300587.62851964</v>
      </c>
      <c r="E27" s="264" t="n">
        <f aca="false">SUM(E5:E26)</f>
        <v>387152.675929069</v>
      </c>
    </row>
  </sheetData>
  <mergeCells count="2">
    <mergeCell ref="B2:M2"/>
    <mergeCell ref="B27:C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P3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25" activeCellId="0" sqref="I25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38"/>
    <col collapsed="false" customWidth="true" hidden="false" outlineLevel="0" max="4" min="3" style="18" width="14.75"/>
    <col collapsed="false" customWidth="true" hidden="false" outlineLevel="0" max="5" min="5" style="18" width="15.62"/>
    <col collapsed="false" customWidth="true" hidden="false" outlineLevel="0" max="6" min="6" style="18" width="13.76"/>
    <col collapsed="false" customWidth="true" hidden="false" outlineLevel="0" max="7" min="7" style="18" width="14.87"/>
    <col collapsed="false" customWidth="true" hidden="false" outlineLevel="0" max="8" min="8" style="18" width="14.38"/>
    <col collapsed="false" customWidth="true" hidden="false" outlineLevel="0" max="9" min="9" style="19" width="14"/>
    <col collapsed="false" customWidth="true" hidden="false" outlineLevel="0" max="10" min="10" style="18" width="14.87"/>
    <col collapsed="false" customWidth="true" hidden="false" outlineLevel="0" max="249" min="11" style="18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"PLANILHA RESUMO "&amp;'Valor da Contratação'!B7&amp;""</f>
        <v>PLANILHA RESUMO POLO VII</v>
      </c>
      <c r="C2" s="20"/>
      <c r="D2" s="20"/>
      <c r="E2" s="20"/>
      <c r="F2" s="20"/>
      <c r="G2" s="20"/>
      <c r="H2" s="20"/>
      <c r="I2" s="20"/>
      <c r="J2" s="21"/>
    </row>
    <row r="3" customFormat="false" ht="15" hidden="false" customHeight="true" outlineLevel="0" collapsed="false">
      <c r="B3" s="2"/>
      <c r="H3" s="2"/>
      <c r="I3" s="22"/>
    </row>
    <row r="4" customFormat="false" ht="46.5" hidden="false" customHeight="true" outlineLevel="0" collapsed="false">
      <c r="B4" s="23" t="s">
        <v>13</v>
      </c>
      <c r="C4" s="23" t="s">
        <v>14</v>
      </c>
      <c r="D4" s="23" t="s">
        <v>15</v>
      </c>
      <c r="E4" s="23" t="s">
        <v>16</v>
      </c>
      <c r="F4" s="23" t="s">
        <v>17</v>
      </c>
      <c r="G4" s="23" t="s">
        <v>18</v>
      </c>
      <c r="H4" s="23" t="s">
        <v>19</v>
      </c>
      <c r="I4" s="23" t="s">
        <v>20</v>
      </c>
    </row>
    <row r="5" customFormat="false" ht="19.5" hidden="false" customHeight="true" outlineLevel="0" collapsed="false">
      <c r="B5" s="24" t="s">
        <v>21</v>
      </c>
      <c r="C5" s="25" t="n">
        <f aca="false">'Base Porto Alegre'!C21</f>
        <v>61793.45</v>
      </c>
      <c r="D5" s="26" t="n">
        <f aca="false">'Base Porto Alegre'!AT10</f>
        <v>21773.9934897585</v>
      </c>
      <c r="E5" s="26" t="n">
        <f aca="false">D5*12</f>
        <v>261287.921877102</v>
      </c>
      <c r="F5" s="26" t="n">
        <f aca="false">'Base Porto Alegre'!AT12</f>
        <v>57404.1646548179</v>
      </c>
      <c r="G5" s="26" t="n">
        <f aca="false">F5*12</f>
        <v>688849.975857815</v>
      </c>
      <c r="H5" s="26" t="n">
        <f aca="false">D5+F5</f>
        <v>79178.1581445764</v>
      </c>
      <c r="I5" s="26" t="n">
        <f aca="false">H5*12</f>
        <v>950137.897734917</v>
      </c>
    </row>
    <row r="6" customFormat="false" ht="19.5" hidden="false" customHeight="true" outlineLevel="0" collapsed="false">
      <c r="B6" s="24" t="s">
        <v>22</v>
      </c>
      <c r="C6" s="25" t="n">
        <f aca="false">'Base Pelotas'!C16</f>
        <v>10437.5</v>
      </c>
      <c r="D6" s="26" t="n">
        <f aca="false">'Base Pelotas'!AT10</f>
        <v>11188.1108951713</v>
      </c>
      <c r="E6" s="26" t="n">
        <f aca="false">D6*12</f>
        <v>134257.330742056</v>
      </c>
      <c r="F6" s="26" t="n">
        <f aca="false">'Base Pelotas'!AT12</f>
        <v>29495.9287236335</v>
      </c>
      <c r="G6" s="26" t="n">
        <f aca="false">F6*12</f>
        <v>353951.144683602</v>
      </c>
      <c r="H6" s="26" t="n">
        <f aca="false">D6+F6</f>
        <v>40684.0396188049</v>
      </c>
      <c r="I6" s="26" t="n">
        <f aca="false">H6*12</f>
        <v>488208.475425658</v>
      </c>
    </row>
    <row r="7" customFormat="false" ht="19.5" hidden="false" customHeight="true" outlineLevel="0" collapsed="false">
      <c r="B7" s="27" t="str">
        <f aca="false">"TOTAL "&amp;'Valor da Contratação'!B7&amp;""</f>
        <v>TOTAL POLO VII</v>
      </c>
      <c r="C7" s="28" t="n">
        <f aca="false">SUM(C5:C6)</f>
        <v>72230.95</v>
      </c>
      <c r="D7" s="29" t="n">
        <f aca="false">SUM(D5:D6)</f>
        <v>32962.1043849299</v>
      </c>
      <c r="E7" s="29" t="n">
        <f aca="false">SUM(E5:E6)</f>
        <v>395545.252619158</v>
      </c>
      <c r="F7" s="29" t="n">
        <f aca="false">SUM(F5:F6)</f>
        <v>86900.0933784514</v>
      </c>
      <c r="G7" s="29" t="n">
        <f aca="false">SUM(G5:G6)</f>
        <v>1042801.12054142</v>
      </c>
      <c r="H7" s="29" t="n">
        <f aca="false">SUM(H5:H6)</f>
        <v>119862.197763381</v>
      </c>
      <c r="I7" s="29" t="n">
        <f aca="false">SUM(I5:I6)</f>
        <v>1438346.37316058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30"/>
      <c r="H8" s="2"/>
      <c r="I8" s="22"/>
    </row>
    <row r="9" s="31" customFormat="true" ht="27" hidden="false" customHeight="true" outlineLevel="0" collapsed="false">
      <c r="B9" s="32" t="str">
        <f aca="false">"BASE "&amp;B5</f>
        <v>BASE PORTO ALEGRE</v>
      </c>
      <c r="C9" s="33" t="s">
        <v>23</v>
      </c>
      <c r="D9" s="33"/>
      <c r="E9" s="33"/>
      <c r="F9" s="33" t="s">
        <v>24</v>
      </c>
      <c r="G9" s="33"/>
      <c r="H9" s="33"/>
      <c r="I9" s="34" t="s">
        <v>25</v>
      </c>
      <c r="IP9" s="35"/>
    </row>
    <row r="10" s="31" customFormat="true" ht="22.5" hidden="false" customHeight="true" outlineLevel="0" collapsed="false">
      <c r="B10" s="32"/>
      <c r="C10" s="36" t="s">
        <v>26</v>
      </c>
      <c r="D10" s="36" t="s">
        <v>27</v>
      </c>
      <c r="E10" s="36" t="s">
        <v>28</v>
      </c>
      <c r="F10" s="37" t="s">
        <v>26</v>
      </c>
      <c r="G10" s="37" t="s">
        <v>27</v>
      </c>
      <c r="H10" s="37" t="s">
        <v>28</v>
      </c>
      <c r="I10" s="37" t="s">
        <v>29</v>
      </c>
      <c r="IP10" s="35"/>
    </row>
    <row r="11" customFormat="false" ht="16.5" hidden="false" customHeight="true" outlineLevel="0" collapsed="false">
      <c r="B11" s="24" t="str">
        <f aca="false">'Base Porto Alegre'!B7</f>
        <v>APS ESTEIO</v>
      </c>
      <c r="C11" s="26" t="n">
        <f aca="false">'Base Porto Alegre'!AO7</f>
        <v>1094.31876074319</v>
      </c>
      <c r="D11" s="26" t="n">
        <f aca="false">C11*3</f>
        <v>3282.95628222956</v>
      </c>
      <c r="E11" s="26" t="n">
        <f aca="false">C11+D11</f>
        <v>4377.27504297274</v>
      </c>
      <c r="F11" s="26" t="n">
        <f aca="false">C11*12</f>
        <v>13131.8251289182</v>
      </c>
      <c r="G11" s="26" t="n">
        <f aca="false">F11*3</f>
        <v>39395.4753867547</v>
      </c>
      <c r="H11" s="26" t="n">
        <f aca="false">F11+G11</f>
        <v>52527.3005156729</v>
      </c>
      <c r="I11" s="38" t="n">
        <f aca="false">F11/$E$7</f>
        <v>0.0331992990485008</v>
      </c>
    </row>
    <row r="12" customFormat="false" ht="16.5" hidden="false" customHeight="true" outlineLevel="0" collapsed="false">
      <c r="B12" s="24" t="str">
        <f aca="false">'Base Porto Alegre'!B8</f>
        <v>APS CACHOEIRINHA</v>
      </c>
      <c r="C12" s="26" t="n">
        <f aca="false">'Base Porto Alegre'!AO8</f>
        <v>699.381390840805</v>
      </c>
      <c r="D12" s="26" t="n">
        <f aca="false">C12*3</f>
        <v>2098.14417252241</v>
      </c>
      <c r="E12" s="26" t="n">
        <f aca="false">C12+D12</f>
        <v>2797.52556336322</v>
      </c>
      <c r="F12" s="26" t="n">
        <f aca="false">C12*12</f>
        <v>8392.57669008965</v>
      </c>
      <c r="G12" s="26" t="n">
        <f aca="false">F12*3</f>
        <v>25177.730070269</v>
      </c>
      <c r="H12" s="26" t="n">
        <f aca="false">F12+G12</f>
        <v>33570.3067603586</v>
      </c>
      <c r="I12" s="38" t="n">
        <f aca="false">F12/$E$7</f>
        <v>0.0212177409146413</v>
      </c>
    </row>
    <row r="13" customFormat="false" ht="16.5" hidden="false" customHeight="true" outlineLevel="0" collapsed="false">
      <c r="B13" s="24" t="str">
        <f aca="false">'Base Porto Alegre'!B9</f>
        <v>APS GRAVATAÍ</v>
      </c>
      <c r="C13" s="26" t="n">
        <f aca="false">'Base Porto Alegre'!AO9</f>
        <v>1124.8425267921</v>
      </c>
      <c r="D13" s="26" t="n">
        <f aca="false">C13*3</f>
        <v>3374.52758037631</v>
      </c>
      <c r="E13" s="26" t="n">
        <f aca="false">C13+D13</f>
        <v>4499.37010716842</v>
      </c>
      <c r="F13" s="26" t="n">
        <f aca="false">C13*12</f>
        <v>13498.1103215053</v>
      </c>
      <c r="G13" s="26" t="n">
        <f aca="false">F13*3</f>
        <v>40494.3309645158</v>
      </c>
      <c r="H13" s="26" t="n">
        <f aca="false">F13+G13</f>
        <v>53992.441286021</v>
      </c>
      <c r="I13" s="38" t="n">
        <f aca="false">F13/$E$7</f>
        <v>0.0341253250598399</v>
      </c>
    </row>
    <row r="14" customFormat="false" ht="16.5" hidden="false" customHeight="true" outlineLevel="0" collapsed="false">
      <c r="B14" s="24" t="str">
        <f aca="false">'Base Porto Alegre'!B10</f>
        <v>APS GUAÍBA</v>
      </c>
      <c r="C14" s="26" t="n">
        <f aca="false">'Base Porto Alegre'!AO10</f>
        <v>1023.30759675069</v>
      </c>
      <c r="D14" s="26" t="n">
        <f aca="false">C14*3</f>
        <v>3069.92279025206</v>
      </c>
      <c r="E14" s="26" t="n">
        <f aca="false">C14+D14</f>
        <v>4093.23038700275</v>
      </c>
      <c r="F14" s="26" t="n">
        <f aca="false">C14*12</f>
        <v>12279.6911610083</v>
      </c>
      <c r="G14" s="26" t="n">
        <f aca="false">F14*3</f>
        <v>36839.0734830248</v>
      </c>
      <c r="H14" s="26" t="n">
        <f aca="false">F14+G14</f>
        <v>49118.764644033</v>
      </c>
      <c r="I14" s="38" t="n">
        <f aca="false">F14/$E$7</f>
        <v>0.0310449716680874</v>
      </c>
    </row>
    <row r="15" customFormat="false" ht="16.5" hidden="false" customHeight="true" outlineLevel="0" collapsed="false">
      <c r="B15" s="24" t="str">
        <f aca="false">'Base Porto Alegre'!B11</f>
        <v>CEDOCPREV CANOAS</v>
      </c>
      <c r="C15" s="26" t="n">
        <f aca="false">'Base Porto Alegre'!AO11</f>
        <v>658.101298803206</v>
      </c>
      <c r="D15" s="26" t="n">
        <f aca="false">C15*3</f>
        <v>1974.30389640962</v>
      </c>
      <c r="E15" s="26" t="n">
        <f aca="false">C15+D15</f>
        <v>2632.40519521283</v>
      </c>
      <c r="F15" s="26" t="n">
        <f aca="false">C15*12</f>
        <v>7897.21558563848</v>
      </c>
      <c r="G15" s="26" t="n">
        <f aca="false">F15*3</f>
        <v>23691.6467569154</v>
      </c>
      <c r="H15" s="26" t="n">
        <f aca="false">F15+G15</f>
        <v>31588.8623425539</v>
      </c>
      <c r="I15" s="38" t="n">
        <f aca="false">F15/$E$7</f>
        <v>0.0199653908961009</v>
      </c>
    </row>
    <row r="16" customFormat="false" ht="16.5" hidden="false" customHeight="true" outlineLevel="0" collapsed="false">
      <c r="B16" s="24" t="str">
        <f aca="false">'Base Porto Alegre'!B12</f>
        <v>DEPÓSITO ESTEIO</v>
      </c>
      <c r="C16" s="26" t="n">
        <f aca="false">'Base Porto Alegre'!AO12</f>
        <v>667.378553987466</v>
      </c>
      <c r="D16" s="26" t="n">
        <f aca="false">C16*3</f>
        <v>2002.1356619624</v>
      </c>
      <c r="E16" s="26" t="n">
        <f aca="false">C16+D16</f>
        <v>2669.51421594986</v>
      </c>
      <c r="F16" s="26" t="n">
        <f aca="false">C16*12</f>
        <v>8008.54264784959</v>
      </c>
      <c r="G16" s="26" t="n">
        <f aca="false">F16*3</f>
        <v>24025.6279435488</v>
      </c>
      <c r="H16" s="26" t="n">
        <f aca="false">F16+G16</f>
        <v>32034.1705913984</v>
      </c>
      <c r="I16" s="38" t="n">
        <f aca="false">F16/$E$7</f>
        <v>0.0202468430472112</v>
      </c>
    </row>
    <row r="17" customFormat="false" ht="16.5" hidden="false" customHeight="true" outlineLevel="0" collapsed="false">
      <c r="B17" s="24" t="str">
        <f aca="false">'Base Porto Alegre'!B13</f>
        <v>GEX/APS CANOAS</v>
      </c>
      <c r="C17" s="26" t="n">
        <f aca="false">'Base Porto Alegre'!AO13</f>
        <v>1497.47093263283</v>
      </c>
      <c r="D17" s="26" t="n">
        <f aca="false">C17*3</f>
        <v>4492.41279789848</v>
      </c>
      <c r="E17" s="26" t="n">
        <f aca="false">C17+D17</f>
        <v>5989.88373053131</v>
      </c>
      <c r="F17" s="26" t="n">
        <f aca="false">C17*12</f>
        <v>17969.6511915939</v>
      </c>
      <c r="G17" s="26" t="n">
        <f aca="false">F17*3</f>
        <v>53908.9535747818</v>
      </c>
      <c r="H17" s="26" t="n">
        <f aca="false">F17+G17</f>
        <v>71878.6047663757</v>
      </c>
      <c r="I17" s="38" t="n">
        <f aca="false">F17/$E$7</f>
        <v>0.0454300767677159</v>
      </c>
    </row>
    <row r="18" customFormat="false" ht="16.5" hidden="false" customHeight="true" outlineLevel="0" collapsed="false">
      <c r="B18" s="24" t="str">
        <f aca="false">'Base Porto Alegre'!B14</f>
        <v>APS ALVORADA</v>
      </c>
      <c r="C18" s="26" t="n">
        <f aca="false">'Base Porto Alegre'!AO14</f>
        <v>730.620379409798</v>
      </c>
      <c r="D18" s="26" t="n">
        <f aca="false">C18*3</f>
        <v>2191.86113822939</v>
      </c>
      <c r="E18" s="26" t="n">
        <f aca="false">C18+D18</f>
        <v>2922.48151763919</v>
      </c>
      <c r="F18" s="26" t="n">
        <f aca="false">C18*12</f>
        <v>8767.44455291758</v>
      </c>
      <c r="G18" s="26" t="n">
        <f aca="false">F18*3</f>
        <v>26302.3336587527</v>
      </c>
      <c r="H18" s="26" t="n">
        <f aca="false">F18+G18</f>
        <v>35069.7782116703</v>
      </c>
      <c r="I18" s="38" t="n">
        <f aca="false">F18/$E$7</f>
        <v>0.0221654652529962</v>
      </c>
    </row>
    <row r="19" customFormat="false" ht="16.5" hidden="false" customHeight="true" outlineLevel="0" collapsed="false">
      <c r="B19" s="24" t="str">
        <f aca="false">'Base Porto Alegre'!B15</f>
        <v>APS PORTO ALEGRE- CENTRO</v>
      </c>
      <c r="C19" s="26" t="n">
        <f aca="false">'Base Porto Alegre'!AO15</f>
        <v>1073.90427796693</v>
      </c>
      <c r="D19" s="26" t="n">
        <f aca="false">C19*3</f>
        <v>3221.71283390078</v>
      </c>
      <c r="E19" s="26" t="n">
        <f aca="false">C19+D19</f>
        <v>4295.61711186771</v>
      </c>
      <c r="F19" s="26" t="n">
        <f aca="false">C19*12</f>
        <v>12886.8513356031</v>
      </c>
      <c r="G19" s="26" t="n">
        <f aca="false">F19*3</f>
        <v>38660.5540068094</v>
      </c>
      <c r="H19" s="26" t="n">
        <f aca="false">F19+G19</f>
        <v>51547.4053424125</v>
      </c>
      <c r="I19" s="38" t="n">
        <f aca="false">F19/$E$7</f>
        <v>0.0325799671473012</v>
      </c>
    </row>
    <row r="20" customFormat="false" ht="16.5" hidden="false" customHeight="true" outlineLevel="0" collapsed="false">
      <c r="B20" s="24" t="str">
        <f aca="false">'Base Porto Alegre'!B16</f>
        <v>APS PORTO ALEGRE-PARTENON</v>
      </c>
      <c r="C20" s="26" t="n">
        <f aca="false">'Base Porto Alegre'!AO16</f>
        <v>5196.4921678614</v>
      </c>
      <c r="D20" s="26" t="n">
        <f aca="false">C20*3</f>
        <v>15589.4765035842</v>
      </c>
      <c r="E20" s="26" t="n">
        <f aca="false">C20+D20</f>
        <v>20785.9686714456</v>
      </c>
      <c r="F20" s="26" t="n">
        <f aca="false">C20*12</f>
        <v>62357.9060143368</v>
      </c>
      <c r="G20" s="26" t="n">
        <f aca="false">F20*3</f>
        <v>187073.718043011</v>
      </c>
      <c r="H20" s="26" t="n">
        <f aca="false">F20+G20</f>
        <v>249431.624057347</v>
      </c>
      <c r="I20" s="38" t="n">
        <f aca="false">F20/$E$7</f>
        <v>0.157650497892277</v>
      </c>
    </row>
    <row r="21" customFormat="false" ht="16.5" hidden="false" customHeight="true" outlineLevel="0" collapsed="false">
      <c r="B21" s="24" t="str">
        <f aca="false">'Base Porto Alegre'!B17</f>
        <v>APS PORTO ALEGRE-SUL</v>
      </c>
      <c r="C21" s="26" t="n">
        <f aca="false">'Base Porto Alegre'!AO17</f>
        <v>786.133714957782</v>
      </c>
      <c r="D21" s="26" t="n">
        <f aca="false">C21*3</f>
        <v>2358.40114487335</v>
      </c>
      <c r="E21" s="26" t="n">
        <f aca="false">C21+D21</f>
        <v>3144.53485983113</v>
      </c>
      <c r="F21" s="26" t="n">
        <f aca="false">C21*12</f>
        <v>9433.60457949338</v>
      </c>
      <c r="G21" s="26" t="n">
        <f aca="false">F21*3</f>
        <v>28300.8137384801</v>
      </c>
      <c r="H21" s="26" t="n">
        <f aca="false">F21+G21</f>
        <v>37734.4183179735</v>
      </c>
      <c r="I21" s="38" t="n">
        <f aca="false">F21/$E$7</f>
        <v>0.0238496215465296</v>
      </c>
    </row>
    <row r="22" customFormat="false" ht="16.5" hidden="false" customHeight="true" outlineLevel="0" collapsed="false">
      <c r="B22" s="24" t="str">
        <f aca="false">'Base Porto Alegre'!B18</f>
        <v>CEDOCPREV PORTO ALEGRE</v>
      </c>
      <c r="C22" s="26" t="n">
        <f aca="false">'Base Porto Alegre'!AO18</f>
        <v>1121.2915552802</v>
      </c>
      <c r="D22" s="26" t="n">
        <f aca="false">C22*3</f>
        <v>3363.8746658406</v>
      </c>
      <c r="E22" s="26" t="n">
        <f aca="false">C22+D22</f>
        <v>4485.16622112081</v>
      </c>
      <c r="F22" s="26" t="n">
        <f aca="false">C22*12</f>
        <v>13455.4986633624</v>
      </c>
      <c r="G22" s="26" t="n">
        <f aca="false">F22*3</f>
        <v>40366.4959900873</v>
      </c>
      <c r="H22" s="26" t="n">
        <f aca="false">F22+G22</f>
        <v>53821.9946534497</v>
      </c>
      <c r="I22" s="38" t="n">
        <f aca="false">F22/$E$7</f>
        <v>0.0340175961518055</v>
      </c>
    </row>
    <row r="23" customFormat="false" ht="16.5" hidden="false" customHeight="true" outlineLevel="0" collapsed="false">
      <c r="B23" s="24" t="str">
        <f aca="false">'Base Porto Alegre'!B19</f>
        <v>GEX PORTO ALEGRE</v>
      </c>
      <c r="C23" s="26" t="n">
        <f aca="false">'Base Porto Alegre'!AO19</f>
        <v>5176.18333472714</v>
      </c>
      <c r="D23" s="26" t="n">
        <f aca="false">C23*3</f>
        <v>15528.5500041814</v>
      </c>
      <c r="E23" s="26" t="n">
        <f aca="false">C23+D23</f>
        <v>20704.7333389086</v>
      </c>
      <c r="F23" s="26" t="n">
        <f aca="false">C23*12</f>
        <v>62114.2000167257</v>
      </c>
      <c r="G23" s="26" t="n">
        <f aca="false">F23*3</f>
        <v>186342.600050177</v>
      </c>
      <c r="H23" s="26" t="n">
        <f aca="false">F23+G23</f>
        <v>248456.800066903</v>
      </c>
      <c r="I23" s="38" t="n">
        <f aca="false">F23/$E$7</f>
        <v>0.157034371176061</v>
      </c>
    </row>
    <row r="24" customFormat="false" ht="16.5" hidden="false" customHeight="true" outlineLevel="0" collapsed="false">
      <c r="B24" s="24" t="str">
        <f aca="false">'Base Porto Alegre'!B20</f>
        <v>IPASE PORTO ALEGRE</v>
      </c>
      <c r="C24" s="26" t="n">
        <f aca="false">'Base Porto Alegre'!AO20</f>
        <v>924.566999004972</v>
      </c>
      <c r="D24" s="26" t="n">
        <f aca="false">C24*3</f>
        <v>2773.70099701492</v>
      </c>
      <c r="E24" s="26" t="n">
        <f aca="false">C24+D24</f>
        <v>3698.26799601989</v>
      </c>
      <c r="F24" s="26" t="n">
        <f aca="false">C24*12</f>
        <v>11094.8039880597</v>
      </c>
      <c r="G24" s="26" t="n">
        <f aca="false">F24*3</f>
        <v>33284.411964179</v>
      </c>
      <c r="H24" s="26" t="n">
        <f aca="false">F24+G24</f>
        <v>44379.2159522387</v>
      </c>
      <c r="I24" s="38" t="n">
        <f aca="false">F24/$E$7</f>
        <v>0.028049392363058</v>
      </c>
    </row>
    <row r="25" customFormat="false" ht="22.5" hidden="false" customHeight="true" outlineLevel="0" collapsed="false">
      <c r="B25" s="39" t="str">
        <f aca="false">"Total Base "&amp;B5</f>
        <v>Total Base PORTO ALEGRE</v>
      </c>
      <c r="C25" s="39" t="n">
        <f aca="false">SUM(C11:C24)</f>
        <v>21773.9934897585</v>
      </c>
      <c r="D25" s="39" t="n">
        <f aca="false">SUM(D11:D24)</f>
        <v>65321.9804692755</v>
      </c>
      <c r="E25" s="39" t="n">
        <f aca="false">SUM(E11:E24)</f>
        <v>87095.973959034</v>
      </c>
      <c r="F25" s="39" t="n">
        <f aca="false">SUM(F11:F24)</f>
        <v>261287.921877102</v>
      </c>
      <c r="G25" s="39" t="n">
        <f aca="false">SUM(G11:G24)</f>
        <v>783863.765631307</v>
      </c>
      <c r="H25" s="39" t="n">
        <f aca="false">SUM(H11:H24)</f>
        <v>1045151.68750841</v>
      </c>
      <c r="I25" s="40" t="n">
        <f aca="false">SUM(I11:I24)</f>
        <v>0.660576558932126</v>
      </c>
    </row>
    <row r="26" customFormat="false" ht="22.5" hidden="false" customHeight="true" outlineLevel="0" collapsed="false">
      <c r="B26" s="41"/>
      <c r="C26" s="41"/>
      <c r="D26" s="41"/>
      <c r="E26" s="41"/>
      <c r="F26" s="41"/>
      <c r="G26" s="41"/>
      <c r="H26" s="41"/>
      <c r="I26" s="42"/>
    </row>
    <row r="27" s="31" customFormat="true" ht="27.75" hidden="false" customHeight="true" outlineLevel="0" collapsed="false">
      <c r="B27" s="32" t="str">
        <f aca="false">"BASE "&amp;B6</f>
        <v>BASE PELOTAS</v>
      </c>
      <c r="C27" s="33" t="s">
        <v>23</v>
      </c>
      <c r="D27" s="33"/>
      <c r="E27" s="33"/>
      <c r="F27" s="33" t="s">
        <v>24</v>
      </c>
      <c r="G27" s="33"/>
      <c r="H27" s="33"/>
      <c r="I27" s="34" t="s">
        <v>25</v>
      </c>
      <c r="IP27" s="35"/>
    </row>
    <row r="28" s="31" customFormat="true" ht="22.5" hidden="false" customHeight="true" outlineLevel="0" collapsed="false">
      <c r="B28" s="32"/>
      <c r="C28" s="36" t="s">
        <v>26</v>
      </c>
      <c r="D28" s="36" t="s">
        <v>27</v>
      </c>
      <c r="E28" s="36" t="s">
        <v>28</v>
      </c>
      <c r="F28" s="37" t="s">
        <v>26</v>
      </c>
      <c r="G28" s="37" t="s">
        <v>27</v>
      </c>
      <c r="H28" s="37" t="s">
        <v>28</v>
      </c>
      <c r="I28" s="37" t="s">
        <v>29</v>
      </c>
      <c r="IP28" s="35"/>
    </row>
    <row r="29" customFormat="false" ht="16.5" hidden="false" customHeight="true" outlineLevel="0" collapsed="false">
      <c r="B29" s="24" t="str">
        <f aca="false">'Base Pelotas'!B7</f>
        <v>APS CAMAQUÃ</v>
      </c>
      <c r="C29" s="26" t="n">
        <f aca="false">'Base Pelotas'!AO7</f>
        <v>1480.00148767478</v>
      </c>
      <c r="D29" s="26" t="n">
        <f aca="false">C29*3</f>
        <v>4440.00446302434</v>
      </c>
      <c r="E29" s="26" t="n">
        <f aca="false">C29+D29</f>
        <v>5920.00595069912</v>
      </c>
      <c r="F29" s="26" t="n">
        <f aca="false">C29*12</f>
        <v>17760.0178520974</v>
      </c>
      <c r="G29" s="26" t="n">
        <f aca="false">F29*3</f>
        <v>53280.0535562921</v>
      </c>
      <c r="H29" s="26" t="n">
        <f aca="false">F29+G29</f>
        <v>71040.0714083895</v>
      </c>
      <c r="I29" s="38" t="n">
        <f aca="false">F29/$E$7</f>
        <v>0.0449000910376169</v>
      </c>
    </row>
    <row r="30" customFormat="false" ht="16.5" hidden="false" customHeight="true" outlineLevel="0" collapsed="false">
      <c r="B30" s="24" t="str">
        <f aca="false">'Base Pelotas'!B8</f>
        <v>APS CAPÃO DO LEÃO</v>
      </c>
      <c r="C30" s="26" t="n">
        <f aca="false">'Base Pelotas'!AO8</f>
        <v>653.035025973333</v>
      </c>
      <c r="D30" s="26" t="n">
        <f aca="false">C30*3</f>
        <v>1959.10507792</v>
      </c>
      <c r="E30" s="26" t="n">
        <f aca="false">C30+D30</f>
        <v>2612.14010389333</v>
      </c>
      <c r="F30" s="26" t="n">
        <f aca="false">C30*12</f>
        <v>7836.42031168</v>
      </c>
      <c r="G30" s="26" t="n">
        <f aca="false">F30*3</f>
        <v>23509.26093504</v>
      </c>
      <c r="H30" s="26" t="n">
        <f aca="false">F30+G30</f>
        <v>31345.68124672</v>
      </c>
      <c r="I30" s="38" t="n">
        <f aca="false">F30/$E$7</f>
        <v>0.0198116909754068</v>
      </c>
    </row>
    <row r="31" customFormat="false" ht="16.5" hidden="false" customHeight="true" outlineLevel="0" collapsed="false">
      <c r="B31" s="24" t="str">
        <f aca="false">'Base Pelotas'!B9</f>
        <v>APS JAGUARÃO</v>
      </c>
      <c r="C31" s="26" t="n">
        <f aca="false">'Base Pelotas'!AO9</f>
        <v>1154.9421955877</v>
      </c>
      <c r="D31" s="26" t="n">
        <f aca="false">C31*3</f>
        <v>3464.8265867631</v>
      </c>
      <c r="E31" s="26" t="n">
        <f aca="false">C31+D31</f>
        <v>4619.7687823508</v>
      </c>
      <c r="F31" s="26" t="n">
        <f aca="false">C31*12</f>
        <v>13859.3063470524</v>
      </c>
      <c r="G31" s="26" t="n">
        <f aca="false">F31*3</f>
        <v>41577.9190411572</v>
      </c>
      <c r="H31" s="26" t="n">
        <f aca="false">F31+G31</f>
        <v>55437.2253882096</v>
      </c>
      <c r="I31" s="38" t="n">
        <f aca="false">F31/$E$7</f>
        <v>0.035038484864326</v>
      </c>
    </row>
    <row r="32" customFormat="false" ht="16.5" hidden="false" customHeight="true" outlineLevel="0" collapsed="false">
      <c r="B32" s="24" t="str">
        <f aca="false">'Base Pelotas'!B10</f>
        <v>APS RIO GRANDE</v>
      </c>
      <c r="C32" s="26" t="n">
        <f aca="false">'Base Pelotas'!AO10</f>
        <v>1194.92409850397</v>
      </c>
      <c r="D32" s="26" t="n">
        <f aca="false">C32*3</f>
        <v>3584.77229551191</v>
      </c>
      <c r="E32" s="26" t="n">
        <f aca="false">C32+D32</f>
        <v>4779.69639401588</v>
      </c>
      <c r="F32" s="26" t="n">
        <f aca="false">C32*12</f>
        <v>14339.0891820476</v>
      </c>
      <c r="G32" s="26" t="n">
        <f aca="false">F32*3</f>
        <v>43017.2675461429</v>
      </c>
      <c r="H32" s="26" t="n">
        <f aca="false">F32+G32</f>
        <v>57356.3567281905</v>
      </c>
      <c r="I32" s="38" t="n">
        <f aca="false">F32/$E$7</f>
        <v>0.0362514505915552</v>
      </c>
    </row>
    <row r="33" customFormat="false" ht="16.5" hidden="false" customHeight="true" outlineLevel="0" collapsed="false">
      <c r="B33" s="24" t="str">
        <f aca="false">'Base Pelotas'!B11</f>
        <v>APS SANTA VITÓRIA DO PALMAR</v>
      </c>
      <c r="C33" s="26" t="n">
        <f aca="false">'Base Pelotas'!AO11</f>
        <v>2128.53543310594</v>
      </c>
      <c r="D33" s="26" t="n">
        <f aca="false">C33*3</f>
        <v>6385.60629931783</v>
      </c>
      <c r="E33" s="26" t="n">
        <f aca="false">C33+D33</f>
        <v>8514.14173242378</v>
      </c>
      <c r="F33" s="26" t="n">
        <f aca="false">C33*12</f>
        <v>25542.4251972713</v>
      </c>
      <c r="G33" s="26" t="n">
        <f aca="false">F33*3</f>
        <v>76627.275591814</v>
      </c>
      <c r="H33" s="26" t="n">
        <f aca="false">F33+G33</f>
        <v>102169.700789085</v>
      </c>
      <c r="I33" s="38" t="n">
        <f aca="false">F33/$E$7</f>
        <v>0.0645752288218316</v>
      </c>
    </row>
    <row r="34" customFormat="false" ht="16.5" hidden="false" customHeight="true" outlineLevel="0" collapsed="false">
      <c r="B34" s="24" t="str">
        <f aca="false">'Base Pelotas'!B12</f>
        <v>APS SÃO JOSÉ DO NORTE</v>
      </c>
      <c r="C34" s="26" t="n">
        <f aca="false">'Base Pelotas'!AO12</f>
        <v>900.854104922093</v>
      </c>
      <c r="D34" s="26" t="n">
        <f aca="false">C34*3</f>
        <v>2702.56231476628</v>
      </c>
      <c r="E34" s="26" t="n">
        <f aca="false">C34+D34</f>
        <v>3603.41641968837</v>
      </c>
      <c r="F34" s="26" t="n">
        <f aca="false">C34*12</f>
        <v>10810.2492590651</v>
      </c>
      <c r="G34" s="26" t="n">
        <f aca="false">F34*3</f>
        <v>32430.7477771953</v>
      </c>
      <c r="H34" s="26" t="n">
        <f aca="false">F34+G34</f>
        <v>43240.9970362604</v>
      </c>
      <c r="I34" s="38" t="n">
        <f aca="false">F34/$E$7</f>
        <v>0.0273299936922098</v>
      </c>
    </row>
    <row r="35" customFormat="false" ht="16.5" hidden="false" customHeight="true" outlineLevel="0" collapsed="false">
      <c r="B35" s="24" t="str">
        <f aca="false">'Base Pelotas'!B13</f>
        <v>APS SÃO LOURENÇO DO SUL</v>
      </c>
      <c r="C35" s="26" t="n">
        <f aca="false">'Base Pelotas'!AO13</f>
        <v>915.199721464887</v>
      </c>
      <c r="D35" s="26" t="n">
        <f aca="false">C35*3</f>
        <v>2745.59916439466</v>
      </c>
      <c r="E35" s="26" t="n">
        <f aca="false">C35+D35</f>
        <v>3660.79888585955</v>
      </c>
      <c r="F35" s="26" t="n">
        <f aca="false">C35*12</f>
        <v>10982.3966575786</v>
      </c>
      <c r="G35" s="26" t="n">
        <f aca="false">F35*3</f>
        <v>32947.1899727359</v>
      </c>
      <c r="H35" s="26" t="n">
        <f aca="false">F35+G35</f>
        <v>43929.5866303146</v>
      </c>
      <c r="I35" s="38" t="n">
        <f aca="false">F35/$E$7</f>
        <v>0.0277652091255227</v>
      </c>
    </row>
    <row r="36" customFormat="false" ht="16.5" hidden="false" customHeight="true" outlineLevel="0" collapsed="false">
      <c r="B36" s="24" t="str">
        <f aca="false">'Base Pelotas'!B14</f>
        <v>APS TAPES</v>
      </c>
      <c r="C36" s="26" t="n">
        <f aca="false">'Base Pelotas'!AO14</f>
        <v>1380.81645076491</v>
      </c>
      <c r="D36" s="26" t="n">
        <f aca="false">C36*3</f>
        <v>4142.44935229473</v>
      </c>
      <c r="E36" s="26" t="n">
        <f aca="false">C36+D36</f>
        <v>5523.26580305964</v>
      </c>
      <c r="F36" s="26" t="n">
        <f aca="false">C36*12</f>
        <v>16569.7974091789</v>
      </c>
      <c r="G36" s="26" t="n">
        <f aca="false">F36*3</f>
        <v>49709.3922275368</v>
      </c>
      <c r="H36" s="26" t="n">
        <f aca="false">F36+G36</f>
        <v>66279.1896367157</v>
      </c>
      <c r="I36" s="38" t="n">
        <f aca="false">F36/$E$7</f>
        <v>0.0418910283955115</v>
      </c>
    </row>
    <row r="37" customFormat="false" ht="16.5" hidden="false" customHeight="true" outlineLevel="0" collapsed="false">
      <c r="B37" s="24" t="str">
        <f aca="false">'Base Pelotas'!B15</f>
        <v>GEX/APS PELOTAS</v>
      </c>
      <c r="C37" s="26" t="n">
        <f aca="false">'Base Pelotas'!AO15</f>
        <v>1379.80237717372</v>
      </c>
      <c r="D37" s="26" t="n">
        <f aca="false">C37*3</f>
        <v>4139.40713152116</v>
      </c>
      <c r="E37" s="26" t="n">
        <f aca="false">C37+D37</f>
        <v>5519.20950869488</v>
      </c>
      <c r="F37" s="26" t="n">
        <f aca="false">C37*12</f>
        <v>16557.6285260847</v>
      </c>
      <c r="G37" s="26" t="n">
        <f aca="false">F37*3</f>
        <v>49672.885578254</v>
      </c>
      <c r="H37" s="26" t="n">
        <f aca="false">F37+G37</f>
        <v>66230.5141043386</v>
      </c>
      <c r="I37" s="38" t="n">
        <f aca="false">F37/$E$7</f>
        <v>0.0418602635638931</v>
      </c>
    </row>
    <row r="38" customFormat="false" ht="22.5" hidden="false" customHeight="true" outlineLevel="0" collapsed="false">
      <c r="B38" s="39" t="str">
        <f aca="false">"Total Base "&amp;B6</f>
        <v>Total Base PELOTAS</v>
      </c>
      <c r="C38" s="39" t="n">
        <f aca="false">SUM(C29:C37)</f>
        <v>11188.1108951713</v>
      </c>
      <c r="D38" s="39" t="n">
        <f aca="false">SUM(D29:D37)</f>
        <v>33564.332685514</v>
      </c>
      <c r="E38" s="39" t="n">
        <f aca="false">SUM(E29:E37)</f>
        <v>44752.4435806854</v>
      </c>
      <c r="F38" s="39" t="n">
        <f aca="false">SUM(F29:F37)</f>
        <v>134257.330742056</v>
      </c>
      <c r="G38" s="39" t="n">
        <f aca="false">SUM(G29:G37)</f>
        <v>402771.992226168</v>
      </c>
      <c r="H38" s="39" t="n">
        <f aca="false">SUM(H29:H37)</f>
        <v>537029.322968224</v>
      </c>
      <c r="I38" s="40" t="n">
        <f aca="false">SUM(I29:I37)</f>
        <v>0.339423441067874</v>
      </c>
    </row>
    <row r="39" customFormat="false" ht="22.5" hidden="false" customHeight="true" outlineLevel="0" collapsed="false">
      <c r="B39" s="43"/>
      <c r="C39" s="41"/>
      <c r="D39" s="41"/>
      <c r="E39" s="41"/>
      <c r="F39" s="41"/>
      <c r="G39" s="41"/>
      <c r="H39" s="41"/>
      <c r="I39" s="42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0" activeCellId="0" sqref="D20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VII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121.61</v>
      </c>
      <c r="D5" s="48" t="n">
        <f aca="false">'Comp. Eng. Eletricista'!D11</f>
        <v>154.024656</v>
      </c>
      <c r="E5" s="48" t="n">
        <v>32.54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8" t="n">
        <f aca="false">C5*C6</f>
        <v>9728.8</v>
      </c>
      <c r="D7" s="48" t="n">
        <f aca="false">D5*D6</f>
        <v>2464.394496</v>
      </c>
      <c r="E7" s="48" t="n">
        <f aca="false">E5*E6</f>
        <v>2603.2</v>
      </c>
    </row>
    <row r="8" customFormat="false" ht="19.5" hidden="false" customHeight="true" outlineLevel="0" collapsed="false">
      <c r="B8" s="49" t="s">
        <v>36</v>
      </c>
      <c r="C8" s="48" t="n">
        <f aca="false">C5*C6*12</f>
        <v>116745.6</v>
      </c>
      <c r="D8" s="48" t="n">
        <f aca="false">D5*D6*12</f>
        <v>29572.733952</v>
      </c>
      <c r="E8" s="48" t="n">
        <f aca="false">E5*E6*12</f>
        <v>31238.4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6" t="s">
        <v>38</v>
      </c>
      <c r="C11" s="46"/>
      <c r="E11" s="52"/>
    </row>
    <row r="12" customFormat="false" ht="19.5" hidden="false" customHeight="true" outlineLevel="0" collapsed="false">
      <c r="B12" s="49" t="s">
        <v>39</v>
      </c>
      <c r="C12" s="48" t="n">
        <f aca="false">SUM(C7:E7)</f>
        <v>14796.394496</v>
      </c>
      <c r="E12" s="52"/>
    </row>
    <row r="13" customFormat="false" ht="19.5" hidden="false" customHeight="true" outlineLevel="0" collapsed="false">
      <c r="B13" s="49" t="s">
        <v>40</v>
      </c>
      <c r="C13" s="48" t="n">
        <f aca="false">SUM(C8:E8)</f>
        <v>177556.733952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AW2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3" activeCellId="0" sqref="G23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8.38"/>
    <col collapsed="false" customWidth="true" hidden="false" outlineLevel="0" max="17" min="17" style="18" width="33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3"/>
    <col collapsed="false" customWidth="true" hidden="false" outlineLevel="0" max="36" min="36" style="18" width="10.62"/>
    <col collapsed="false" customWidth="true" hidden="false" outlineLevel="0" max="40" min="37" style="18" width="11.75"/>
    <col collapsed="false" customWidth="true" hidden="false" outlineLevel="0" max="42" min="41" style="18" width="11.38"/>
    <col collapsed="false" customWidth="true" hidden="false" outlineLevel="0" max="43" min="43" style="18" width="12.88"/>
    <col collapsed="false" customWidth="true" hidden="false" outlineLevel="0" max="44" min="44" style="18" width="3.38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256" min="50" style="18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PORTO ALEGRE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"&amp;Resumo!B5&amp;" – PLANILHA DE DISTRIBUIÇÃO DE CUSTOS POR UNIDADE"</f>
        <v>BASE PORTO ALEGRE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6"/>
      <c r="AI2" s="57" t="str">
        <f aca="false">"BASE "&amp;Resumo!B5&amp;" – PLANILHA RESUMO DE CUSTOS DA BASE"</f>
        <v>BASE PORTO ALEGRE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5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PORTO ALEGRE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N21+'Base Pelotas'!N16</f>
        <v>1344.2</v>
      </c>
      <c r="AD5" s="58" t="s">
        <v>62</v>
      </c>
      <c r="AE5" s="58" t="s">
        <v>63</v>
      </c>
      <c r="AF5" s="58" t="s">
        <v>64</v>
      </c>
      <c r="AG5" s="58" t="s">
        <v>65</v>
      </c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7" t="s">
        <v>62</v>
      </c>
      <c r="AA6" s="37" t="s">
        <v>63</v>
      </c>
      <c r="AB6" s="37" t="s">
        <v>64</v>
      </c>
      <c r="AC6" s="37" t="s">
        <v>65</v>
      </c>
      <c r="AD6" s="58"/>
      <c r="AE6" s="58"/>
      <c r="AF6" s="58"/>
      <c r="AG6" s="58"/>
      <c r="AI6" s="47"/>
      <c r="AJ6" s="58"/>
      <c r="AK6" s="58"/>
      <c r="AL6" s="58"/>
      <c r="AM6" s="58"/>
      <c r="AN6" s="58"/>
      <c r="AO6" s="58"/>
      <c r="AP6" s="58" t="n">
        <f aca="false">72.5/27.5</f>
        <v>2.63636363636364</v>
      </c>
      <c r="AQ6" s="58"/>
      <c r="AR6" s="63"/>
      <c r="AS6" s="58"/>
      <c r="AT6" s="37" t="s">
        <v>77</v>
      </c>
      <c r="AU6" s="37" t="s">
        <v>78</v>
      </c>
      <c r="AV6" s="37" t="s">
        <v>79</v>
      </c>
      <c r="AW6" s="37" t="s">
        <v>80</v>
      </c>
    </row>
    <row r="7" s="2" customFormat="true" ht="15" hidden="false" customHeight="true" outlineLevel="0" collapsed="false">
      <c r="B7" s="64" t="s">
        <v>81</v>
      </c>
      <c r="C7" s="65" t="n">
        <f aca="false">VLOOKUP($B7,Unidades!$D$5:$N$27,6,FALSE())</f>
        <v>1237.91</v>
      </c>
      <c r="D7" s="65" t="n">
        <f aca="false">VLOOKUP($B7,Unidades!$D$5:$N$27,7,FALSE())</f>
        <v>1047.75</v>
      </c>
      <c r="E7" s="65" t="n">
        <f aca="false">VLOOKUP($B7,Unidades!$D$5:$N$27,8,FALSE())</f>
        <v>190.16</v>
      </c>
      <c r="F7" s="65" t="n">
        <f aca="false">VLOOKUP($B7,Unidades!$D$5:$N$27,9,FALSE())</f>
        <v>0</v>
      </c>
      <c r="G7" s="65" t="n">
        <f aca="false">D7+E7*$E$6+F7*$F$6</f>
        <v>1114.306</v>
      </c>
      <c r="H7" s="66" t="n">
        <f aca="false">IF(G7&lt;750,1.5,IF(G7&lt;2000,2,IF(G7&lt;4000,3,12)))</f>
        <v>2</v>
      </c>
      <c r="I7" s="66" t="n">
        <f aca="false">$I$6*H7</f>
        <v>2.4</v>
      </c>
      <c r="J7" s="66" t="str">
        <f aca="false">VLOOKUP($B7,Unidades!$D$5:$N$27,10,FALSE())</f>
        <v>SIM</v>
      </c>
      <c r="K7" s="66" t="str">
        <f aca="false">VLOOKUP($B7,Unidades!$D$5:$N$27,11,FALSE())</f>
        <v>SIM</v>
      </c>
      <c r="L7" s="66" t="n">
        <f aca="false">$L$6*H7+(IF(J7="SIM",$J$6,0))</f>
        <v>4.2</v>
      </c>
      <c r="M7" s="66" t="n">
        <f aca="false">$M$6*H7+(IF(J7="SIM",$J$6,0))+(IF(K7="SIM",$K$6,0))</f>
        <v>8.2</v>
      </c>
      <c r="N7" s="66" t="n">
        <f aca="false">H7*12+I7*4+L7*2+M7</f>
        <v>50.2</v>
      </c>
      <c r="O7" s="67" t="n">
        <f aca="false">IF(K7="não", N7*(C$24+D$24),N7*(C$24+D$24)+(M7*+E$24))</f>
        <v>2728.0281572</v>
      </c>
      <c r="P7" s="68"/>
      <c r="Q7" s="24" t="str">
        <f aca="false">B7</f>
        <v>APS ESTEIO</v>
      </c>
      <c r="R7" s="26" t="n">
        <f aca="false">H7*($C$24+$D$24)</f>
        <v>97.918572</v>
      </c>
      <c r="S7" s="26" t="n">
        <f aca="false">I7*($C$24+$D$24)</f>
        <v>117.5022864</v>
      </c>
      <c r="T7" s="26" t="n">
        <f aca="false">L7*($C$24+$D$24)</f>
        <v>205.6290012</v>
      </c>
      <c r="U7" s="26" t="n">
        <f aca="false">IF(K7="não",M7*($C$24+$D$24),M7*(C$24+D$24+E$24))</f>
        <v>671.7381452</v>
      </c>
      <c r="V7" s="26" t="n">
        <f aca="false">VLOOKUP(Q7,'Desl. Base Porto Alegre'!$C$5:$S$18,13,FALSE())*($C$24+$D$24+$E$24*(VLOOKUP(Q7,'Desl. Base Porto Alegre'!$C$5:$S$18,17,FALSE())/12))</f>
        <v>26.7147422111111</v>
      </c>
      <c r="W7" s="26" t="n">
        <f aca="false">VLOOKUP(Q7,'Desl. Base Porto Alegre'!$C$5:$S$18,15,FALSE())*(2+(VLOOKUP(Q7,'Desl. Base Porto Alegre'!$C$5:$S$18,17,FALSE())/12))</f>
        <v>0</v>
      </c>
      <c r="X7" s="26" t="n">
        <f aca="false">VLOOKUP(Q7,'Desl. Base Porto Alegre'!$C$5:$Q$18,14,FALSE())</f>
        <v>0</v>
      </c>
      <c r="Y7" s="26" t="n">
        <f aca="false">VLOOKUP(Q7,'Desl. Base Porto Alegre'!$C$5:$Q$18,13,FALSE())*'Desl. Base Porto Alegre'!$E$23+'Desl. Base Porto Alegre'!$E$24*N7/12</f>
        <v>54.5625</v>
      </c>
      <c r="Z7" s="26" t="n">
        <f aca="false">(H7/$AC$5)*'Equipe Técnica'!$C$13</f>
        <v>264.182017485493</v>
      </c>
      <c r="AA7" s="26" t="n">
        <f aca="false">(I7/$AC$5)*'Equipe Técnica'!$C$13</f>
        <v>317.018420982592</v>
      </c>
      <c r="AB7" s="26" t="n">
        <f aca="false">(L7/$AC$5)*'Equipe Técnica'!$C$13</f>
        <v>554.782236719536</v>
      </c>
      <c r="AC7" s="26" t="n">
        <f aca="false">(M7/$AC$5)*'Equipe Técnica'!$C$13</f>
        <v>1083.14627169052</v>
      </c>
      <c r="AD7" s="26" t="n">
        <f aca="false">R7+(($V7+$W7+$X7+$Y7)*12/19)+$Z7</f>
        <v>413.433584566195</v>
      </c>
      <c r="AE7" s="26" t="n">
        <f aca="false">S7+(($V7+$W7+$X7+$Y7)*12/19)+$AA7</f>
        <v>485.853702463294</v>
      </c>
      <c r="AF7" s="26" t="n">
        <f aca="false">T7+(($V7+$W7+$X7+$Y7)*12/19)+$AB7</f>
        <v>811.744233000238</v>
      </c>
      <c r="AG7" s="26" t="n">
        <f aca="false">U7+(($V7+$W7+$X7+$Y7)*12/19)+$AC7</f>
        <v>1806.21741197122</v>
      </c>
      <c r="AI7" s="24" t="str">
        <f aca="false">B7</f>
        <v>APS ESTEIO</v>
      </c>
      <c r="AJ7" s="69" t="n">
        <f aca="false">VLOOKUP(AI7,Unidades!D$5:H$27,5,)</f>
        <v>0.2707</v>
      </c>
      <c r="AK7" s="48" t="n">
        <f aca="false">AD7*(1+$AJ7)</f>
        <v>525.350055908264</v>
      </c>
      <c r="AL7" s="48" t="n">
        <f aca="false">AE7*(1+$AJ7)</f>
        <v>617.374299720107</v>
      </c>
      <c r="AM7" s="48" t="n">
        <f aca="false">AF7*(1+$AJ7)</f>
        <v>1031.4833968734</v>
      </c>
      <c r="AN7" s="48" t="n">
        <f aca="false">AG7*(1+$AJ7)</f>
        <v>2295.16046539183</v>
      </c>
      <c r="AO7" s="48" t="n">
        <f aca="false">((AK7*12)+(AL7*4)+(AM7*2)+AN7)/12</f>
        <v>1094.31876074319</v>
      </c>
      <c r="AP7" s="48" t="n">
        <f aca="false">AO7*$AP$6</f>
        <v>2885.02218741385</v>
      </c>
      <c r="AQ7" s="48" t="n">
        <f aca="false">AO7+AP7</f>
        <v>3979.34094815704</v>
      </c>
      <c r="AR7" s="70"/>
      <c r="AS7" s="71" t="s">
        <v>82</v>
      </c>
      <c r="AT7" s="48" t="n">
        <f aca="false">AK21</f>
        <v>11892.9721824066</v>
      </c>
      <c r="AU7" s="48" t="n">
        <f aca="false">AL21</f>
        <v>14069.6421089395</v>
      </c>
      <c r="AV7" s="48" t="n">
        <f aca="false">AM21</f>
        <v>16251.4375693165</v>
      </c>
      <c r="AW7" s="48" t="n">
        <f aca="false">AN21</f>
        <v>29790.8121138317</v>
      </c>
    </row>
    <row r="8" s="2" customFormat="true" ht="15" hidden="false" customHeight="true" outlineLevel="0" collapsed="false">
      <c r="B8" s="64" t="s">
        <v>83</v>
      </c>
      <c r="C8" s="65" t="n">
        <f aca="false">VLOOKUP($B8,Unidades!$D$5:$N$27,6,FALSE())</f>
        <v>142.98</v>
      </c>
      <c r="D8" s="65" t="n">
        <f aca="false">VLOOKUP($B8,Unidades!$D$5:$N$27,7,FALSE())</f>
        <v>142.98</v>
      </c>
      <c r="E8" s="65" t="n">
        <f aca="false">VLOOKUP($B8,Unidades!$D$5:$N$27,8,FALSE())</f>
        <v>0</v>
      </c>
      <c r="F8" s="65" t="n">
        <f aca="false">VLOOKUP($B8,Unidades!$D$5:$N$27,9,FALSE())</f>
        <v>0</v>
      </c>
      <c r="G8" s="65" t="n">
        <f aca="false">D8+E8*$E$6+F8*$F$6</f>
        <v>142.98</v>
      </c>
      <c r="H8" s="66" t="n">
        <f aca="false">IF(G8&lt;750,1.5,IF(G8&lt;2000,2,IF(G8&lt;4000,3,12)))</f>
        <v>1.5</v>
      </c>
      <c r="I8" s="66" t="n">
        <f aca="false">$I$6*H8</f>
        <v>1.8</v>
      </c>
      <c r="J8" s="66" t="str">
        <f aca="false">VLOOKUP($B8,Unidades!$D$5:$N$27,10,FALSE())</f>
        <v>NÃO</v>
      </c>
      <c r="K8" s="66" t="str">
        <f aca="false">VLOOKUP($B8,Unidades!$D$5:$N$27,11,FALSE())</f>
        <v>NÃO</v>
      </c>
      <c r="L8" s="66" t="n">
        <f aca="false">$L$6*H8+(IF(J8="SIM",$J$6,0))</f>
        <v>1.65</v>
      </c>
      <c r="M8" s="66" t="n">
        <f aca="false">$M$6*H8+(IF(J8="SIM",$J$6,0))+(IF(K8="SIM",$K$6,0))</f>
        <v>1.65</v>
      </c>
      <c r="N8" s="66" t="n">
        <f aca="false">H8*12+I8*4+L8*2+M8</f>
        <v>30.15</v>
      </c>
      <c r="O8" s="67" t="n">
        <f aca="false">IF(K8="não", N8*(C$24+D$24),N8*(C$24+D$24)+(M8*+E$24))</f>
        <v>1476.1224729</v>
      </c>
      <c r="P8" s="68"/>
      <c r="Q8" s="24" t="str">
        <f aca="false">B8</f>
        <v>APS CACHOEIRINHA</v>
      </c>
      <c r="R8" s="26" t="n">
        <f aca="false">H8*($C$24+$D$24)</f>
        <v>73.438929</v>
      </c>
      <c r="S8" s="26" t="n">
        <f aca="false">I8*($C$24+$D$24)</f>
        <v>88.1267148</v>
      </c>
      <c r="T8" s="26" t="n">
        <f aca="false">L8*($C$24+$D$24)</f>
        <v>80.7828219</v>
      </c>
      <c r="U8" s="26" t="n">
        <f aca="false">IF(K8="não",M8*($C$24+$D$24),M8*(C$24+D$24+E$24))</f>
        <v>80.7828219</v>
      </c>
      <c r="V8" s="26" t="n">
        <f aca="false">VLOOKUP(Q8,'Desl. Base Porto Alegre'!$C$5:$S$18,13,FALSE())*($C$24+$D$24+$E$24*(VLOOKUP(Q8,'Desl. Base Porto Alegre'!$C$5:$S$18,17,FALSE())/12))</f>
        <v>36.1941668666667</v>
      </c>
      <c r="W8" s="26" t="n">
        <f aca="false">VLOOKUP(Q8,'Desl. Base Porto Alegre'!$C$5:$S$18,15,FALSE())*(2+(VLOOKUP(Q8,'Desl. Base Porto Alegre'!$C$5:$S$18,17,FALSE())/12))</f>
        <v>0</v>
      </c>
      <c r="X8" s="26" t="n">
        <f aca="false">VLOOKUP(Q8,'Desl. Base Porto Alegre'!$C$5:$Q$18,14,FALSE())</f>
        <v>0</v>
      </c>
      <c r="Y8" s="26" t="n">
        <f aca="false">VLOOKUP(Q8,'Desl. Base Porto Alegre'!$C$5:$Q$18,13,FALSE())*'Desl. Base Porto Alegre'!$E$23+'Desl. Base Porto Alegre'!$E$24*N8/12</f>
        <v>53.225</v>
      </c>
      <c r="Z8" s="26" t="n">
        <f aca="false">(H8/$AC$5)*'Equipe Técnica'!$C$13</f>
        <v>198.13651311412</v>
      </c>
      <c r="AA8" s="26" t="n">
        <f aca="false">(I8/$AC$5)*'Equipe Técnica'!$C$13</f>
        <v>237.763815736944</v>
      </c>
      <c r="AB8" s="26" t="n">
        <f aca="false">(L8/$AC$5)*'Equipe Técnica'!$C$13</f>
        <v>217.950164425532</v>
      </c>
      <c r="AC8" s="26" t="n">
        <f aca="false">(M8/$AC$5)*'Equipe Técnica'!$C$13</f>
        <v>217.950164425532</v>
      </c>
      <c r="AD8" s="26" t="n">
        <f aca="false">R8+(($V8+$W8+$X8+$Y8)*12/19)+$Z8</f>
        <v>328.05070539833</v>
      </c>
      <c r="AE8" s="26" t="n">
        <f aca="false">S8+(($V8+$W8+$X8+$Y8)*12/19)+$AA8</f>
        <v>382.365793821154</v>
      </c>
      <c r="AF8" s="26" t="n">
        <f aca="false">T8+(($V8+$W8+$X8+$Y8)*12/19)+$AB8</f>
        <v>355.208249609742</v>
      </c>
      <c r="AG8" s="26" t="n">
        <f aca="false">U8+(($V8+$W8+$X8+$Y8)*12/19)+$AC8</f>
        <v>355.208249609742</v>
      </c>
      <c r="AI8" s="24" t="str">
        <f aca="false">B8</f>
        <v>APS CACHOEIRINHA</v>
      </c>
      <c r="AJ8" s="69" t="n">
        <f aca="false">VLOOKUP(AI8,Unidades!D$5:H$27,5,)</f>
        <v>0.2849</v>
      </c>
      <c r="AK8" s="48" t="n">
        <f aca="false">AD8*(1+$AJ8)</f>
        <v>421.512351366315</v>
      </c>
      <c r="AL8" s="48" t="n">
        <f aca="false">AE8*(1+$AJ8)</f>
        <v>491.301808480801</v>
      </c>
      <c r="AM8" s="48" t="n">
        <f aca="false">AF8*(1+$AJ8)</f>
        <v>456.407079923558</v>
      </c>
      <c r="AN8" s="48" t="n">
        <f aca="false">AG8*(1+$AJ8)</f>
        <v>456.407079923558</v>
      </c>
      <c r="AO8" s="48" t="n">
        <f aca="false">((AK8*12)+(AL8*4)+(AM8*2)+AN8)/12</f>
        <v>699.381390840805</v>
      </c>
      <c r="AP8" s="48" t="n">
        <f aca="false">AO8*$AP$6</f>
        <v>1843.82366676212</v>
      </c>
      <c r="AQ8" s="48" t="n">
        <f aca="false">AO8+AP8</f>
        <v>2543.20505760293</v>
      </c>
      <c r="AR8" s="70"/>
      <c r="AS8" s="71" t="s">
        <v>84</v>
      </c>
      <c r="AT8" s="48" t="n">
        <f aca="false">AT7*12</f>
        <v>142715.666188879</v>
      </c>
      <c r="AU8" s="48" t="n">
        <f aca="false">AU7*4</f>
        <v>56278.568435758</v>
      </c>
      <c r="AV8" s="48" t="n">
        <f aca="false">AV7*2</f>
        <v>32502.8751386331</v>
      </c>
      <c r="AW8" s="48" t="n">
        <f aca="false">AW7</f>
        <v>29790.8121138317</v>
      </c>
    </row>
    <row r="9" s="2" customFormat="true" ht="15" hidden="false" customHeight="true" outlineLevel="0" collapsed="false">
      <c r="B9" s="64" t="s">
        <v>85</v>
      </c>
      <c r="C9" s="65" t="n">
        <f aca="false">VLOOKUP($B9,Unidades!$D$5:$N$27,6,FALSE())</f>
        <v>1320.78</v>
      </c>
      <c r="D9" s="65" t="n">
        <f aca="false">VLOOKUP($B9,Unidades!$D$5:$N$27,7,FALSE())</f>
        <v>925.8</v>
      </c>
      <c r="E9" s="65" t="n">
        <f aca="false">VLOOKUP($B9,Unidades!$D$5:$N$27,8,FALSE())</f>
        <v>394.98</v>
      </c>
      <c r="F9" s="65" t="n">
        <f aca="false">VLOOKUP($B9,Unidades!$D$5:$N$27,9,FALSE())</f>
        <v>0</v>
      </c>
      <c r="G9" s="65" t="n">
        <f aca="false">D9+E9*$E$6+F9*$F$6</f>
        <v>1064.043</v>
      </c>
      <c r="H9" s="66" t="n">
        <f aca="false">IF(G9&lt;750,1.5,IF(G9&lt;2000,2,IF(G9&lt;4000,3,12)))</f>
        <v>2</v>
      </c>
      <c r="I9" s="66" t="n">
        <f aca="false">$I$6*H9</f>
        <v>2.4</v>
      </c>
      <c r="J9" s="66" t="str">
        <f aca="false">VLOOKUP($B9,Unidades!$D$5:$N$27,10,FALSE())</f>
        <v>SIM</v>
      </c>
      <c r="K9" s="66" t="str">
        <f aca="false">VLOOKUP($B9,Unidades!$D$5:$N$27,11,FALSE())</f>
        <v>SIM</v>
      </c>
      <c r="L9" s="66" t="n">
        <f aca="false">$L$6*H9+(IF(J9="SIM",$J$6,0))</f>
        <v>4.2</v>
      </c>
      <c r="M9" s="66" t="n">
        <f aca="false">$M$6*H9+(IF(J9="SIM",$J$6,0))+(IF(K9="SIM",$K$6,0))</f>
        <v>8.2</v>
      </c>
      <c r="N9" s="66" t="n">
        <f aca="false">H9*12+I9*4+L9*2+M9</f>
        <v>50.2</v>
      </c>
      <c r="O9" s="67" t="n">
        <f aca="false">IF(K9="não", N9*(C$24+D$24),N9*(C$24+D$24)+(M9*+E$24))</f>
        <v>2728.0281572</v>
      </c>
      <c r="P9" s="68"/>
      <c r="Q9" s="24" t="str">
        <f aca="false">B9</f>
        <v>APS GRAVATAÍ</v>
      </c>
      <c r="R9" s="26" t="n">
        <f aca="false">H9*($C$24+$D$24)</f>
        <v>97.918572</v>
      </c>
      <c r="S9" s="26" t="n">
        <f aca="false">I9*($C$24+$D$24)</f>
        <v>117.5022864</v>
      </c>
      <c r="T9" s="26" t="n">
        <f aca="false">L9*($C$24+$D$24)</f>
        <v>205.6290012</v>
      </c>
      <c r="U9" s="26" t="n">
        <f aca="false">IF(K9="não",M9*($C$24+$D$24),M9*(C$24+D$24+E$24))</f>
        <v>671.7381452</v>
      </c>
      <c r="V9" s="26" t="n">
        <f aca="false">VLOOKUP(Q9,'Desl. Base Porto Alegre'!$C$5:$S$18,13,FALSE())*($C$24+$D$24+$E$24*(VLOOKUP(Q9,'Desl. Base Porto Alegre'!$C$5:$S$18,17,FALSE())/12))</f>
        <v>36.1941668666667</v>
      </c>
      <c r="W9" s="26" t="n">
        <f aca="false">VLOOKUP(Q9,'Desl. Base Porto Alegre'!$C$5:$S$18,15,FALSE())*(2+(VLOOKUP(Q9,'Desl. Base Porto Alegre'!$C$5:$S$18,17,FALSE())/12))</f>
        <v>0</v>
      </c>
      <c r="X9" s="26" t="n">
        <f aca="false">VLOOKUP(Q9,'Desl. Base Porto Alegre'!$C$5:$Q$18,14,FALSE())</f>
        <v>0</v>
      </c>
      <c r="Y9" s="26" t="n">
        <f aca="false">VLOOKUP(Q9,'Desl. Base Porto Alegre'!$C$5:$Q$18,13,FALSE())*'Desl. Base Porto Alegre'!$E$23+'Desl. Base Porto Alegre'!$E$24*N9/12</f>
        <v>64.1856666666667</v>
      </c>
      <c r="Z9" s="26" t="n">
        <f aca="false">(H9/$AC$5)*'Equipe Técnica'!$C$13</f>
        <v>264.182017485493</v>
      </c>
      <c r="AA9" s="26" t="n">
        <f aca="false">(I9/$AC$5)*'Equipe Técnica'!$C$13</f>
        <v>317.018420982592</v>
      </c>
      <c r="AB9" s="26" t="n">
        <f aca="false">(L9/$AC$5)*'Equipe Técnica'!$C$13</f>
        <v>554.782236719536</v>
      </c>
      <c r="AC9" s="26" t="n">
        <f aca="false">(M9/$AC$5)*'Equipe Técnica'!$C$13</f>
        <v>1083.14627169052</v>
      </c>
      <c r="AD9" s="26" t="n">
        <f aca="false">R9+(($V9+$W9+$X9+$Y9)*12/19)+$Z9</f>
        <v>425.498379085493</v>
      </c>
      <c r="AE9" s="26" t="n">
        <f aca="false">S9+(($V9+$W9+$X9+$Y9)*12/19)+$AA9</f>
        <v>497.918496982592</v>
      </c>
      <c r="AF9" s="26" t="n">
        <f aca="false">T9+(($V9+$W9+$X9+$Y9)*12/19)+$AB9</f>
        <v>823.809027519536</v>
      </c>
      <c r="AG9" s="26" t="n">
        <f aca="false">U9+(($V9+$W9+$X9+$Y9)*12/19)+$AC9</f>
        <v>1818.28220649052</v>
      </c>
      <c r="AI9" s="24" t="str">
        <f aca="false">B9</f>
        <v>APS GRAVATAÍ</v>
      </c>
      <c r="AJ9" s="69" t="n">
        <f aca="false">VLOOKUP(AI9,Unidades!D$5:H$27,5,)</f>
        <v>0.2778</v>
      </c>
      <c r="AK9" s="48" t="n">
        <f aca="false">AD9*(1+$AJ9)</f>
        <v>543.701828795443</v>
      </c>
      <c r="AL9" s="48" t="n">
        <f aca="false">AE9*(1+$AJ9)</f>
        <v>636.240255444356</v>
      </c>
      <c r="AM9" s="48" t="n">
        <f aca="false">AF9*(1+$AJ9)</f>
        <v>1052.66317536446</v>
      </c>
      <c r="AN9" s="48" t="n">
        <f aca="false">AG9*(1+$AJ9)</f>
        <v>2323.40100345359</v>
      </c>
      <c r="AO9" s="48" t="n">
        <f aca="false">((AK9*12)+(AL9*4)+(AM9*2)+AN9)/12</f>
        <v>1124.8425267921</v>
      </c>
      <c r="AP9" s="48" t="n">
        <f aca="false">AO9*$AP$6</f>
        <v>2965.49393427009</v>
      </c>
      <c r="AQ9" s="48" t="n">
        <f aca="false">AO9+AP9</f>
        <v>4090.3364610622</v>
      </c>
      <c r="AR9" s="70"/>
      <c r="AS9" s="70"/>
      <c r="AT9" s="72"/>
      <c r="AU9" s="72"/>
      <c r="AV9" s="72"/>
      <c r="AW9" s="72"/>
    </row>
    <row r="10" s="2" customFormat="true" ht="15" hidden="false" customHeight="true" outlineLevel="0" collapsed="false">
      <c r="B10" s="64" t="s">
        <v>86</v>
      </c>
      <c r="C10" s="65" t="n">
        <f aca="false">VLOOKUP($B10,Unidades!$D$5:$N$27,6,FALSE())</f>
        <v>1577.06</v>
      </c>
      <c r="D10" s="65" t="n">
        <f aca="false">VLOOKUP($B10,Unidades!$D$5:$N$27,7,FALSE())</f>
        <v>784.54</v>
      </c>
      <c r="E10" s="65" t="n">
        <f aca="false">VLOOKUP($B10,Unidades!$D$5:$N$27,8,FALSE())</f>
        <v>565.1</v>
      </c>
      <c r="F10" s="65" t="n">
        <f aca="false">VLOOKUP($B10,Unidades!$D$5:$N$27,9,FALSE())</f>
        <v>227.42</v>
      </c>
      <c r="G10" s="65" t="n">
        <f aca="false">D10+E10*$E$6+F10*$F$6</f>
        <v>1005.067</v>
      </c>
      <c r="H10" s="66" t="n">
        <f aca="false">IF(G10&lt;750,1.5,IF(G10&lt;2000,2,IF(G10&lt;4000,3,12)))</f>
        <v>2</v>
      </c>
      <c r="I10" s="66" t="n">
        <f aca="false">$I$6*H10</f>
        <v>2.4</v>
      </c>
      <c r="J10" s="66" t="str">
        <f aca="false">VLOOKUP($B10,Unidades!$D$5:$N$27,10,FALSE())</f>
        <v>NÃO</v>
      </c>
      <c r="K10" s="66" t="str">
        <f aca="false">VLOOKUP($B10,Unidades!$D$5:$N$27,11,FALSE())</f>
        <v>SIM</v>
      </c>
      <c r="L10" s="66" t="n">
        <f aca="false">$L$6*H10+(IF(J10="SIM",$J$6,0))</f>
        <v>2.2</v>
      </c>
      <c r="M10" s="66" t="n">
        <f aca="false">$M$6*H10+(IF(J10="SIM",$J$6,0))+(IF(K10="SIM",$K$6,0))</f>
        <v>6.2</v>
      </c>
      <c r="N10" s="66" t="n">
        <f aca="false">H10*12+I10*4+L10*2+M10</f>
        <v>44.2</v>
      </c>
      <c r="O10" s="67" t="n">
        <f aca="false">IF(K10="não", N10*(C$24+D$24),N10*(C$24+D$24)+(M10*+E$24))</f>
        <v>2368.3524412</v>
      </c>
      <c r="P10" s="68"/>
      <c r="Q10" s="24" t="str">
        <f aca="false">B10</f>
        <v>APS GUAÍBA</v>
      </c>
      <c r="R10" s="26" t="n">
        <f aca="false">H10*($C$24+$D$24)</f>
        <v>97.918572</v>
      </c>
      <c r="S10" s="26" t="n">
        <f aca="false">I10*($C$24+$D$24)</f>
        <v>117.5022864</v>
      </c>
      <c r="T10" s="26" t="n">
        <f aca="false">L10*($C$24+$D$24)</f>
        <v>107.7104292</v>
      </c>
      <c r="U10" s="26" t="n">
        <f aca="false">IF(K10="não",M10*($C$24+$D$24),M10*(C$24+D$24+E$24))</f>
        <v>507.8995732</v>
      </c>
      <c r="V10" s="26" t="n">
        <f aca="false">VLOOKUP(Q10,'Desl. Base Porto Alegre'!$C$5:$S$18,13,FALSE())*($C$24+$D$24+$E$24*(VLOOKUP(Q10,'Desl. Base Porto Alegre'!$C$5:$S$18,17,FALSE())/12))</f>
        <v>48.2588891555556</v>
      </c>
      <c r="W10" s="26" t="n">
        <f aca="false">VLOOKUP(Q10,'Desl. Base Porto Alegre'!$C$5:$S$18,15,FALSE())*(2+(VLOOKUP(Q10,'Desl. Base Porto Alegre'!$C$5:$S$18,17,FALSE())/12))</f>
        <v>0</v>
      </c>
      <c r="X10" s="26" t="n">
        <f aca="false">VLOOKUP(Q10,'Desl. Base Porto Alegre'!$C$5:$Q$18,14,FALSE())</f>
        <v>0</v>
      </c>
      <c r="Y10" s="26" t="n">
        <f aca="false">VLOOKUP(Q10,'Desl. Base Porto Alegre'!$C$5:$Q$18,13,FALSE())*'Desl. Base Porto Alegre'!$E$23+'Desl. Base Porto Alegre'!$E$24*N10/12</f>
        <v>73.1533333333333</v>
      </c>
      <c r="Z10" s="26" t="n">
        <f aca="false">(H10/$AC$5)*'Equipe Técnica'!$C$13</f>
        <v>264.182017485493</v>
      </c>
      <c r="AA10" s="26" t="n">
        <f aca="false">(I10/$AC$5)*'Equipe Técnica'!$C$13</f>
        <v>317.018420982592</v>
      </c>
      <c r="AB10" s="26" t="n">
        <f aca="false">(L10/$AC$5)*'Equipe Técnica'!$C$13</f>
        <v>290.600219234043</v>
      </c>
      <c r="AC10" s="26" t="n">
        <f aca="false">(M10/$AC$5)*'Equipe Técnica'!$C$13</f>
        <v>818.964254205029</v>
      </c>
      <c r="AD10" s="26" t="n">
        <f aca="false">R10+(($V10+$W10+$X10+$Y10)*12/19)+$Z10</f>
        <v>438.781993162686</v>
      </c>
      <c r="AE10" s="26" t="n">
        <f aca="false">S10+(($V10+$W10+$X10+$Y10)*12/19)+$AA10</f>
        <v>511.202111059785</v>
      </c>
      <c r="AF10" s="26" t="n">
        <f aca="false">T10+(($V10+$W10+$X10+$Y10)*12/19)+$AB10</f>
        <v>474.992052111236</v>
      </c>
      <c r="AG10" s="26" t="n">
        <f aca="false">U10+(($V10+$W10+$X10+$Y10)*12/19)+$AC10</f>
        <v>1403.54523108222</v>
      </c>
      <c r="AI10" s="24" t="str">
        <f aca="false">B10</f>
        <v>APS GUAÍBA</v>
      </c>
      <c r="AJ10" s="69" t="n">
        <f aca="false">VLOOKUP(AI10,Unidades!D$5:H$27,5,)</f>
        <v>0.2707</v>
      </c>
      <c r="AK10" s="48" t="n">
        <f aca="false">AD10*(1+$AJ10)</f>
        <v>557.560278711825</v>
      </c>
      <c r="AL10" s="48" t="n">
        <f aca="false">AE10*(1+$AJ10)</f>
        <v>649.584522523669</v>
      </c>
      <c r="AM10" s="48" t="n">
        <f aca="false">AF10*(1+$AJ10)</f>
        <v>603.572400617747</v>
      </c>
      <c r="AN10" s="48" t="n">
        <f aca="false">AG10*(1+$AJ10)</f>
        <v>1783.48492513618</v>
      </c>
      <c r="AO10" s="48" t="n">
        <f aca="false">((AK10*12)+(AL10*4)+(AM10*2)+AN10)/12</f>
        <v>1023.30759675069</v>
      </c>
      <c r="AP10" s="48" t="n">
        <f aca="false">AO10*$AP$6</f>
        <v>2697.81093688818</v>
      </c>
      <c r="AQ10" s="48" t="n">
        <f aca="false">AO10+AP10</f>
        <v>3721.11853363886</v>
      </c>
      <c r="AR10" s="70"/>
      <c r="AS10" s="73" t="s">
        <v>72</v>
      </c>
      <c r="AT10" s="48" t="n">
        <f aca="false">(SUM(AT8:AW8))/12</f>
        <v>21773.9934897585</v>
      </c>
      <c r="AU10" s="48"/>
      <c r="AV10" s="72"/>
      <c r="AW10" s="72"/>
    </row>
    <row r="11" s="2" customFormat="true" ht="15" hidden="false" customHeight="true" outlineLevel="0" collapsed="false">
      <c r="B11" s="64" t="s">
        <v>87</v>
      </c>
      <c r="C11" s="65" t="n">
        <f aca="false">VLOOKUP($B11,Unidades!$D$5:$N$27,6,FALSE())</f>
        <v>436.8</v>
      </c>
      <c r="D11" s="65" t="n">
        <f aca="false">VLOOKUP($B11,Unidades!$D$5:$N$27,7,FALSE())</f>
        <v>0</v>
      </c>
      <c r="E11" s="65" t="n">
        <f aca="false">VLOOKUP($B11,Unidades!$D$5:$N$27,8,FALSE())</f>
        <v>436.8</v>
      </c>
      <c r="F11" s="65" t="n">
        <f aca="false">VLOOKUP($B11,Unidades!$D$5:$N$27,9,FALSE())</f>
        <v>0</v>
      </c>
      <c r="G11" s="65" t="n">
        <f aca="false">D11+E11*$E$6+F11*$F$6</f>
        <v>152.88</v>
      </c>
      <c r="H11" s="66" t="n">
        <f aca="false">IF(G11&lt;750,1.5,IF(G11&lt;2000,2,IF(G11&lt;4000,3,12)))</f>
        <v>1.5</v>
      </c>
      <c r="I11" s="66" t="n">
        <f aca="false">$I$6*H11</f>
        <v>1.8</v>
      </c>
      <c r="J11" s="66" t="str">
        <f aca="false">VLOOKUP($B11,Unidades!$D$5:$N$27,10,FALSE())</f>
        <v>NÃO</v>
      </c>
      <c r="K11" s="66" t="str">
        <f aca="false">VLOOKUP($B11,Unidades!$D$5:$N$27,11,FALSE())</f>
        <v>NÃO</v>
      </c>
      <c r="L11" s="66" t="n">
        <f aca="false">$L$6*H11+(IF(J11="SIM",$J$6,0))</f>
        <v>1.65</v>
      </c>
      <c r="M11" s="66" t="n">
        <f aca="false">$M$6*H11+(IF(J11="SIM",$J$6,0))+(IF(K11="SIM",$K$6,0))</f>
        <v>1.65</v>
      </c>
      <c r="N11" s="66" t="n">
        <f aca="false">H11*12+I11*4+L11*2+M11</f>
        <v>30.15</v>
      </c>
      <c r="O11" s="67" t="n">
        <f aca="false">IF(K11="não", N11*(C$24+D$24),N11*(C$24+D$24)+(M11*+E$24))</f>
        <v>1476.1224729</v>
      </c>
      <c r="P11" s="68"/>
      <c r="Q11" s="24" t="str">
        <f aca="false">B11</f>
        <v>CEDOCPREV CANOAS</v>
      </c>
      <c r="R11" s="26" t="n">
        <f aca="false">H11*($C$24+$D$24)</f>
        <v>73.438929</v>
      </c>
      <c r="S11" s="26" t="n">
        <f aca="false">I11*($C$24+$D$24)</f>
        <v>88.1267148</v>
      </c>
      <c r="T11" s="26" t="n">
        <f aca="false">L11*($C$24+$D$24)</f>
        <v>80.7828219</v>
      </c>
      <c r="U11" s="26" t="n">
        <f aca="false">IF(K11="não",M11*($C$24+$D$24),M11*(C$24+D$24+E$24))</f>
        <v>80.7828219</v>
      </c>
      <c r="V11" s="26" t="n">
        <f aca="false">VLOOKUP(Q11,'Desl. Base Porto Alegre'!$C$5:$S$18,13,FALSE())*($C$24+$D$24+$E$24*(VLOOKUP(Q11,'Desl. Base Porto Alegre'!$C$5:$S$18,17,FALSE())/12))</f>
        <v>20.2514981277778</v>
      </c>
      <c r="W11" s="26" t="n">
        <f aca="false">VLOOKUP(Q11,'Desl. Base Porto Alegre'!$C$5:$S$18,15,FALSE())*(2+(VLOOKUP(Q11,'Desl. Base Porto Alegre'!$C$5:$S$18,17,FALSE())/12))</f>
        <v>0</v>
      </c>
      <c r="X11" s="26" t="n">
        <f aca="false">VLOOKUP(Q11,'Desl. Base Porto Alegre'!$C$5:$Q$18,14,FALSE())</f>
        <v>0</v>
      </c>
      <c r="Y11" s="26" t="n">
        <f aca="false">VLOOKUP(Q11,'Desl. Base Porto Alegre'!$C$5:$Q$18,13,FALSE())*'Desl. Base Porto Alegre'!$E$23+'Desl. Base Porto Alegre'!$E$24*N11/12</f>
        <v>37.0405833333333</v>
      </c>
      <c r="Z11" s="26" t="n">
        <f aca="false">(H11/$AC$5)*'Equipe Técnica'!$C$13</f>
        <v>198.13651311412</v>
      </c>
      <c r="AA11" s="26" t="n">
        <f aca="false">(I11/$AC$5)*'Equipe Técnica'!$C$13</f>
        <v>237.763815736944</v>
      </c>
      <c r="AB11" s="26" t="n">
        <f aca="false">(L11/$AC$5)*'Equipe Técnica'!$C$13</f>
        <v>217.950164425532</v>
      </c>
      <c r="AC11" s="26" t="n">
        <f aca="false">(M11/$AC$5)*'Equipe Técnica'!$C$13</f>
        <v>217.950164425532</v>
      </c>
      <c r="AD11" s="26" t="n">
        <f aca="false">R11+(($V11+$W11+$X11+$Y11)*12/19)+$Z11</f>
        <v>307.759914615874</v>
      </c>
      <c r="AE11" s="26" t="n">
        <f aca="false">S11+(($V11+$W11+$X11+$Y11)*12/19)+$AA11</f>
        <v>362.075003038698</v>
      </c>
      <c r="AF11" s="26" t="n">
        <f aca="false">T11+(($V11+$W11+$X11+$Y11)*12/19)+$AB11</f>
        <v>334.917458827286</v>
      </c>
      <c r="AG11" s="26" t="n">
        <f aca="false">U11+(($V11+$W11+$X11+$Y11)*12/19)+$AC11</f>
        <v>334.917458827286</v>
      </c>
      <c r="AI11" s="24" t="str">
        <f aca="false">B11</f>
        <v>CEDOCPREV CANOAS</v>
      </c>
      <c r="AJ11" s="69" t="n">
        <f aca="false">VLOOKUP(AI11,Unidades!D$5:H$27,5,)</f>
        <v>0.2849</v>
      </c>
      <c r="AK11" s="48" t="n">
        <f aca="false">AD11*(1+$AJ11)</f>
        <v>395.440714289937</v>
      </c>
      <c r="AL11" s="48" t="n">
        <f aca="false">AE11*(1+$AJ11)</f>
        <v>465.230171404423</v>
      </c>
      <c r="AM11" s="48" t="n">
        <f aca="false">AF11*(1+$AJ11)</f>
        <v>430.33544284718</v>
      </c>
      <c r="AN11" s="48" t="n">
        <f aca="false">AG11*(1+$AJ11)</f>
        <v>430.33544284718</v>
      </c>
      <c r="AO11" s="48" t="n">
        <f aca="false">((AK11*12)+(AL11*4)+(AM11*2)+AN11)/12</f>
        <v>658.101298803206</v>
      </c>
      <c r="AP11" s="48" t="n">
        <f aca="false">AO11*$AP$6</f>
        <v>1734.99433320845</v>
      </c>
      <c r="AQ11" s="48" t="n">
        <f aca="false">AO11+AP11</f>
        <v>2393.09563201166</v>
      </c>
      <c r="AR11" s="70"/>
      <c r="AS11" s="73" t="s">
        <v>88</v>
      </c>
      <c r="AT11" s="48" t="n">
        <f aca="false">AT10*12</f>
        <v>261287.921877102</v>
      </c>
      <c r="AU11" s="48"/>
      <c r="AV11" s="72"/>
      <c r="AW11" s="72"/>
    </row>
    <row r="12" s="2" customFormat="true" ht="15" hidden="false" customHeight="true" outlineLevel="0" collapsed="false">
      <c r="B12" s="64" t="s">
        <v>89</v>
      </c>
      <c r="C12" s="65" t="n">
        <f aca="false">VLOOKUP($B12,Unidades!$D$5:$N$27,6,FALSE())</f>
        <v>2817.56</v>
      </c>
      <c r="D12" s="65" t="n">
        <f aca="false">VLOOKUP($B12,Unidades!$D$5:$N$27,7,FALSE())</f>
        <v>0</v>
      </c>
      <c r="E12" s="65" t="n">
        <f aca="false">VLOOKUP($B12,Unidades!$D$5:$N$27,8,FALSE())</f>
        <v>731.05</v>
      </c>
      <c r="F12" s="65" t="n">
        <f aca="false">VLOOKUP($B12,Unidades!$D$5:$N$27,9,FALSE())</f>
        <v>2086.51</v>
      </c>
      <c r="G12" s="65" t="n">
        <f aca="false">D12+E12*$E$6+F12*$F$6</f>
        <v>464.5185</v>
      </c>
      <c r="H12" s="66" t="n">
        <f aca="false">IF(G12&lt;750,1.5,IF(G12&lt;2000,2,IF(G12&lt;4000,3,12)))</f>
        <v>1.5</v>
      </c>
      <c r="I12" s="66" t="n">
        <f aca="false">$I$6*H12</f>
        <v>1.8</v>
      </c>
      <c r="J12" s="66" t="str">
        <f aca="false">VLOOKUP($B12,Unidades!$D$5:$N$27,10,FALSE())</f>
        <v>NÃO</v>
      </c>
      <c r="K12" s="66" t="str">
        <f aca="false">VLOOKUP($B12,Unidades!$D$5:$N$27,11,FALSE())</f>
        <v>NÃO</v>
      </c>
      <c r="L12" s="66" t="n">
        <f aca="false">$L$6*H12+(IF(J12="SIM",$J$6,0))</f>
        <v>1.65</v>
      </c>
      <c r="M12" s="66" t="n">
        <f aca="false">$M$6*H12+(IF(J12="SIM",$J$6,0))+(IF(K12="SIM",$K$6,0))</f>
        <v>1.65</v>
      </c>
      <c r="N12" s="66" t="n">
        <f aca="false">H12*12+I12*4+L12*2+M12</f>
        <v>30.15</v>
      </c>
      <c r="O12" s="67" t="n">
        <f aca="false">IF(K12="não", N12*(C$24+D$24),N12*(C$24+D$24)+(M12*+E$24))</f>
        <v>1476.1224729</v>
      </c>
      <c r="P12" s="68"/>
      <c r="Q12" s="24" t="str">
        <f aca="false">B12</f>
        <v>DEPÓSITO ESTEIO</v>
      </c>
      <c r="R12" s="26" t="n">
        <f aca="false">H12*($C$24+$D$24)</f>
        <v>73.438929</v>
      </c>
      <c r="S12" s="26" t="n">
        <f aca="false">I12*($C$24+$D$24)</f>
        <v>88.1267148</v>
      </c>
      <c r="T12" s="26" t="n">
        <f aca="false">L12*($C$24+$D$24)</f>
        <v>80.7828219</v>
      </c>
      <c r="U12" s="26" t="n">
        <f aca="false">IF(K12="não",M12*($C$24+$D$24),M12*(C$24+D$24+E$24))</f>
        <v>80.7828219</v>
      </c>
      <c r="V12" s="26" t="n">
        <f aca="false">VLOOKUP(Q12,'Desl. Base Porto Alegre'!$C$5:$S$18,13,FALSE())*($C$24+$D$24+$E$24*(VLOOKUP(Q12,'Desl. Base Porto Alegre'!$C$5:$S$18,17,FALSE())/12))</f>
        <v>26.7147422111111</v>
      </c>
      <c r="W12" s="26" t="n">
        <f aca="false">VLOOKUP(Q12,'Desl. Base Porto Alegre'!$C$5:$S$18,15,FALSE())*(2+(VLOOKUP(Q12,'Desl. Base Porto Alegre'!$C$5:$S$18,17,FALSE())/12))</f>
        <v>0</v>
      </c>
      <c r="X12" s="26" t="n">
        <f aca="false">VLOOKUP(Q12,'Desl. Base Porto Alegre'!$C$5:$Q$18,14,FALSE())</f>
        <v>0</v>
      </c>
      <c r="Y12" s="26" t="n">
        <f aca="false">VLOOKUP(Q12,'Desl. Base Porto Alegre'!$C$5:$Q$18,13,FALSE())*'Desl. Base Porto Alegre'!$E$23+'Desl. Base Porto Alegre'!$E$24*N12/12</f>
        <v>43.6018333333333</v>
      </c>
      <c r="Z12" s="26" t="n">
        <f aca="false">(H12/$AC$5)*'Equipe Técnica'!$C$13</f>
        <v>198.13651311412</v>
      </c>
      <c r="AA12" s="26" t="n">
        <f aca="false">(I12/$AC$5)*'Equipe Técnica'!$C$13</f>
        <v>237.763815736944</v>
      </c>
      <c r="AB12" s="26" t="n">
        <f aca="false">(L12/$AC$5)*'Equipe Técnica'!$C$13</f>
        <v>217.950164425532</v>
      </c>
      <c r="AC12" s="26" t="n">
        <f aca="false">(M12/$AC$5)*'Equipe Técnica'!$C$13</f>
        <v>217.950164425532</v>
      </c>
      <c r="AD12" s="26" t="n">
        <f aca="false">R12+(($V12+$W12+$X12+$Y12)*12/19)+$Z12</f>
        <v>315.985910879032</v>
      </c>
      <c r="AE12" s="26" t="n">
        <f aca="false">S12+(($V12+$W12+$X12+$Y12)*12/19)+$AA12</f>
        <v>370.300999301856</v>
      </c>
      <c r="AF12" s="26" t="n">
        <f aca="false">T12+(($V12+$W12+$X12+$Y12)*12/19)+$AB12</f>
        <v>343.143455090444</v>
      </c>
      <c r="AG12" s="26" t="n">
        <f aca="false">U12+(($V12+$W12+$X12+$Y12)*12/19)+$AC12</f>
        <v>343.143455090444</v>
      </c>
      <c r="AI12" s="24" t="str">
        <f aca="false">B12</f>
        <v>DEPÓSITO ESTEIO</v>
      </c>
      <c r="AJ12" s="69" t="n">
        <f aca="false">VLOOKUP(AI12,Unidades!D$5:H$27,5,)</f>
        <v>0.2707</v>
      </c>
      <c r="AK12" s="48" t="n">
        <f aca="false">AD12*(1+$AJ12)</f>
        <v>401.523296953986</v>
      </c>
      <c r="AL12" s="48" t="n">
        <f aca="false">AE12*(1+$AJ12)</f>
        <v>470.541479812869</v>
      </c>
      <c r="AM12" s="48" t="n">
        <f aca="false">AF12*(1+$AJ12)</f>
        <v>436.032388383427</v>
      </c>
      <c r="AN12" s="48" t="n">
        <f aca="false">AG12*(1+$AJ12)</f>
        <v>436.032388383427</v>
      </c>
      <c r="AO12" s="48" t="n">
        <f aca="false">((AK12*12)+(AL12*4)+(AM12*2)+AN12)/12</f>
        <v>667.378553987466</v>
      </c>
      <c r="AP12" s="48" t="n">
        <f aca="false">AO12*$AP$6</f>
        <v>1759.4525514215</v>
      </c>
      <c r="AQ12" s="48" t="n">
        <f aca="false">AO12+AP12</f>
        <v>2426.83110540897</v>
      </c>
      <c r="AR12" s="70"/>
      <c r="AS12" s="73" t="s">
        <v>73</v>
      </c>
      <c r="AT12" s="48" t="n">
        <f aca="false">AP21</f>
        <v>57404.1646548179</v>
      </c>
      <c r="AU12" s="48"/>
      <c r="AV12" s="70"/>
      <c r="AW12" s="70"/>
    </row>
    <row r="13" s="2" customFormat="true" ht="15" hidden="false" customHeight="true" outlineLevel="0" collapsed="false">
      <c r="B13" s="64" t="s">
        <v>90</v>
      </c>
      <c r="C13" s="65" t="n">
        <f aca="false">VLOOKUP($B13,Unidades!$D$5:$N$27,6,FALSE())</f>
        <v>3136.2</v>
      </c>
      <c r="D13" s="65" t="n">
        <f aca="false">VLOOKUP($B13,Unidades!$D$5:$N$27,7,FALSE())</f>
        <v>2619.3</v>
      </c>
      <c r="E13" s="65" t="n">
        <f aca="false">VLOOKUP($B13,Unidades!$D$5:$N$27,8,FALSE())</f>
        <v>376.78</v>
      </c>
      <c r="F13" s="65" t="n">
        <f aca="false">VLOOKUP($B13,Unidades!$D$5:$N$27,9,FALSE())</f>
        <v>140.12</v>
      </c>
      <c r="G13" s="65" t="n">
        <f aca="false">D13+E13*$E$6+F13*$F$6</f>
        <v>2765.185</v>
      </c>
      <c r="H13" s="66" t="n">
        <f aca="false">IF(G13&lt;750,1.5,IF(G13&lt;2000,2,IF(G13&lt;4000,3,12)))</f>
        <v>3</v>
      </c>
      <c r="I13" s="66" t="n">
        <f aca="false">$I$6*H13</f>
        <v>3.6</v>
      </c>
      <c r="J13" s="66" t="str">
        <f aca="false">VLOOKUP($B13,Unidades!$D$5:$N$27,10,FALSE())</f>
        <v>SIM</v>
      </c>
      <c r="K13" s="66" t="str">
        <f aca="false">VLOOKUP($B13,Unidades!$D$5:$N$27,11,FALSE())</f>
        <v>SIM</v>
      </c>
      <c r="L13" s="66" t="n">
        <f aca="false">$L$6*H13+(IF(J13="SIM",$J$6,0))</f>
        <v>5.3</v>
      </c>
      <c r="M13" s="66" t="n">
        <f aca="false">$M$6*H13+(IF(J13="SIM",$J$6,0))+(IF(K13="SIM",$K$6,0))</f>
        <v>9.3</v>
      </c>
      <c r="N13" s="66" t="n">
        <f aca="false">H13*12+I13*4+L13*2+M13</f>
        <v>70.3</v>
      </c>
      <c r="O13" s="67" t="n">
        <f aca="false">IF(K13="não", N13*(C$24+D$24),N13*(C$24+D$24)+(M13*+E$24))</f>
        <v>3748.3658058</v>
      </c>
      <c r="P13" s="68"/>
      <c r="Q13" s="24" t="str">
        <f aca="false">B13</f>
        <v>GEX/APS CANOAS</v>
      </c>
      <c r="R13" s="26" t="n">
        <f aca="false">H13*($C$24+$D$24)</f>
        <v>146.877858</v>
      </c>
      <c r="S13" s="26" t="n">
        <f aca="false">I13*($C$24+$D$24)</f>
        <v>176.2534296</v>
      </c>
      <c r="T13" s="26" t="n">
        <f aca="false">L13*($C$24+$D$24)</f>
        <v>259.4842158</v>
      </c>
      <c r="U13" s="26" t="n">
        <f aca="false">IF(K13="não",M13*($C$24+$D$24),M13*(C$24+D$24+E$24))</f>
        <v>761.8493598</v>
      </c>
      <c r="V13" s="26" t="n">
        <f aca="false">VLOOKUP(Q13,'Desl. Base Porto Alegre'!$C$5:$S$18,13,FALSE())*($C$24+$D$24+$E$24*(VLOOKUP(Q13,'Desl. Base Porto Alegre'!$C$5:$S$18,17,FALSE())/12))</f>
        <v>20.2514981277778</v>
      </c>
      <c r="W13" s="26" t="n">
        <f aca="false">VLOOKUP(Q13,'Desl. Base Porto Alegre'!$C$5:$S$18,15,FALSE())*(2+(VLOOKUP(Q13,'Desl. Base Porto Alegre'!$C$5:$S$18,17,FALSE())/12))</f>
        <v>0</v>
      </c>
      <c r="X13" s="26" t="n">
        <f aca="false">VLOOKUP(Q13,'Desl. Base Porto Alegre'!$C$5:$Q$18,14,FALSE())</f>
        <v>0</v>
      </c>
      <c r="Y13" s="26" t="n">
        <f aca="false">VLOOKUP(Q13,'Desl. Base Porto Alegre'!$C$5:$Q$18,13,FALSE())*'Desl. Base Porto Alegre'!$E$23+'Desl. Base Porto Alegre'!$E$24*N13/12</f>
        <v>58.98925</v>
      </c>
      <c r="Z13" s="26" t="n">
        <f aca="false">(H13/$AC$5)*'Equipe Técnica'!$C$13</f>
        <v>396.27302622824</v>
      </c>
      <c r="AA13" s="26" t="n">
        <f aca="false">(I13/$AC$5)*'Equipe Técnica'!$C$13</f>
        <v>475.527631473888</v>
      </c>
      <c r="AB13" s="26" t="n">
        <f aca="false">(L13/$AC$5)*'Equipe Técnica'!$C$13</f>
        <v>700.082346336557</v>
      </c>
      <c r="AC13" s="26" t="n">
        <f aca="false">(M13/$AC$5)*'Equipe Técnica'!$C$13</f>
        <v>1228.44638130754</v>
      </c>
      <c r="AD13" s="26" t="n">
        <f aca="false">R13+(($V13+$W13+$X13+$Y13)*12/19)+$Z13</f>
        <v>593.197672519468</v>
      </c>
      <c r="AE13" s="26" t="n">
        <f aca="false">S13+(($V13+$W13+$X13+$Y13)*12/19)+$AA13</f>
        <v>701.827849365116</v>
      </c>
      <c r="AF13" s="26" t="n">
        <f aca="false">T13+(($V13+$W13+$X13+$Y13)*12/19)+$AB13</f>
        <v>1009.61335042779</v>
      </c>
      <c r="AG13" s="26" t="n">
        <f aca="false">U13+(($V13+$W13+$X13+$Y13)*12/19)+$AC13</f>
        <v>2040.34252939877</v>
      </c>
      <c r="AI13" s="24" t="str">
        <f aca="false">B13</f>
        <v>GEX/APS CANOAS</v>
      </c>
      <c r="AJ13" s="69" t="n">
        <f aca="false">VLOOKUP(AI13,Unidades!D$5:H$27,5,)</f>
        <v>0.2849</v>
      </c>
      <c r="AK13" s="48" t="n">
        <f aca="false">AD13*(1+$AJ13)</f>
        <v>762.199689420264</v>
      </c>
      <c r="AL13" s="48" t="n">
        <f aca="false">AE13*(1+$AJ13)</f>
        <v>901.778603649237</v>
      </c>
      <c r="AM13" s="48" t="n">
        <f aca="false">AF13*(1+$AJ13)</f>
        <v>1297.25219396466</v>
      </c>
      <c r="AN13" s="48" t="n">
        <f aca="false">AG13*(1+$AJ13)</f>
        <v>2621.63611602448</v>
      </c>
      <c r="AO13" s="48" t="n">
        <f aca="false">((AK13*12)+(AL13*4)+(AM13*2)+AN13)/12</f>
        <v>1497.47093263283</v>
      </c>
      <c r="AP13" s="48" t="n">
        <f aca="false">AO13*$AP$6</f>
        <v>3947.87791330473</v>
      </c>
      <c r="AQ13" s="48" t="n">
        <f aca="false">AO13+AP13</f>
        <v>5445.34884593755</v>
      </c>
      <c r="AR13" s="70"/>
      <c r="AS13" s="73" t="s">
        <v>91</v>
      </c>
      <c r="AT13" s="48" t="n">
        <f aca="false">AT12*12</f>
        <v>688849.975857815</v>
      </c>
      <c r="AU13" s="48"/>
      <c r="AV13" s="72"/>
      <c r="AW13" s="72"/>
    </row>
    <row r="14" s="2" customFormat="true" ht="15" hidden="false" customHeight="true" outlineLevel="0" collapsed="false">
      <c r="B14" s="64" t="s">
        <v>92</v>
      </c>
      <c r="C14" s="65" t="n">
        <f aca="false">VLOOKUP($B14,Unidades!$D$5:$N$27,6,FALSE())</f>
        <v>394</v>
      </c>
      <c r="D14" s="65" t="n">
        <f aca="false">VLOOKUP($B14,Unidades!$D$5:$N$27,7,FALSE())</f>
        <v>374</v>
      </c>
      <c r="E14" s="65" t="n">
        <f aca="false">VLOOKUP($B14,Unidades!$D$5:$N$27,8,FALSE())</f>
        <v>20</v>
      </c>
      <c r="F14" s="65" t="n">
        <f aca="false">VLOOKUP($B14,Unidades!$D$5:$N$27,9,FALSE())</f>
        <v>0</v>
      </c>
      <c r="G14" s="65" t="n">
        <f aca="false">D14+E14*$E$6+F14*$F$6</f>
        <v>381</v>
      </c>
      <c r="H14" s="66" t="n">
        <f aca="false">IF(G14&lt;750,1.5,IF(G14&lt;2000,2,IF(G14&lt;4000,3,12)))</f>
        <v>1.5</v>
      </c>
      <c r="I14" s="66" t="n">
        <f aca="false">$I$6*H14</f>
        <v>1.8</v>
      </c>
      <c r="J14" s="66" t="str">
        <f aca="false">VLOOKUP($B14,Unidades!$D$5:$N$27,10,FALSE())</f>
        <v>NÃO</v>
      </c>
      <c r="K14" s="66" t="str">
        <f aca="false">VLOOKUP($B14,Unidades!$D$5:$N$27,11,FALSE())</f>
        <v>NÃO</v>
      </c>
      <c r="L14" s="66" t="n">
        <f aca="false">$L$6*H14+(IF(J14="SIM",$J$6,0))</f>
        <v>1.65</v>
      </c>
      <c r="M14" s="66" t="n">
        <f aca="false">$M$6*H14+(IF(J14="SIM",$J$6,0))+(IF(K14="SIM",$K$6,0))</f>
        <v>1.65</v>
      </c>
      <c r="N14" s="66" t="n">
        <f aca="false">H14*12+I14*4+L14*2+M14</f>
        <v>30.15</v>
      </c>
      <c r="O14" s="67" t="n">
        <f aca="false">IF(K14="não", N14*(C$24+D$24),N14*(C$24+D$24)+(M14*+E$24))</f>
        <v>1476.1224729</v>
      </c>
      <c r="P14" s="68"/>
      <c r="Q14" s="24" t="str">
        <f aca="false">B14</f>
        <v>APS ALVORADA</v>
      </c>
      <c r="R14" s="26" t="n">
        <f aca="false">H14*($C$24+$D$24)</f>
        <v>73.438929</v>
      </c>
      <c r="S14" s="26" t="n">
        <f aca="false">I14*($C$24+$D$24)</f>
        <v>88.1267148</v>
      </c>
      <c r="T14" s="26" t="n">
        <f aca="false">L14*($C$24+$D$24)</f>
        <v>80.7828219</v>
      </c>
      <c r="U14" s="26" t="n">
        <f aca="false">IF(K14="não",M14*($C$24+$D$24),M14*(C$24+D$24+E$24))</f>
        <v>80.7828219</v>
      </c>
      <c r="V14" s="26" t="n">
        <f aca="false">VLOOKUP(Q14,'Desl. Base Porto Alegre'!$C$5:$S$18,13,FALSE())*($C$24+$D$24+$E$24*(VLOOKUP(Q14,'Desl. Base Porto Alegre'!$C$5:$S$18,17,FALSE())/12))</f>
        <v>48.2588891555556</v>
      </c>
      <c r="W14" s="26" t="n">
        <f aca="false">VLOOKUP(Q14,'Desl. Base Porto Alegre'!$C$5:$S$18,15,FALSE())*(2+(VLOOKUP(Q14,'Desl. Base Porto Alegre'!$C$5:$S$18,17,FALSE())/12))</f>
        <v>0</v>
      </c>
      <c r="X14" s="26" t="n">
        <f aca="false">VLOOKUP(Q14,'Desl. Base Porto Alegre'!$C$5:$Q$18,14,FALSE())</f>
        <v>0</v>
      </c>
      <c r="Y14" s="26" t="n">
        <f aca="false">VLOOKUP(Q14,'Desl. Base Porto Alegre'!$C$5:$Q$18,13,FALSE())*'Desl. Base Porto Alegre'!$E$23+'Desl. Base Porto Alegre'!$E$24*N14/12</f>
        <v>65.4726666666667</v>
      </c>
      <c r="Z14" s="26" t="n">
        <f aca="false">(H14/$AC$5)*'Equipe Técnica'!$C$13</f>
        <v>198.13651311412</v>
      </c>
      <c r="AA14" s="26" t="n">
        <f aca="false">(I14/$AC$5)*'Equipe Técnica'!$C$13</f>
        <v>237.763815736944</v>
      </c>
      <c r="AB14" s="26" t="n">
        <f aca="false">(L14/$AC$5)*'Equipe Técnica'!$C$13</f>
        <v>217.950164425532</v>
      </c>
      <c r="AC14" s="26" t="n">
        <f aca="false">(M14/$AC$5)*'Equipe Técnica'!$C$13</f>
        <v>217.950164425532</v>
      </c>
      <c r="AD14" s="26" t="n">
        <f aca="false">R14+(($V14+$W14+$X14+$Y14)*12/19)+$Z14</f>
        <v>343.405898422892</v>
      </c>
      <c r="AE14" s="26" t="n">
        <f aca="false">S14+(($V14+$W14+$X14+$Y14)*12/19)+$AA14</f>
        <v>397.720986845716</v>
      </c>
      <c r="AF14" s="26" t="n">
        <f aca="false">T14+(($V14+$W14+$X14+$Y14)*12/19)+$AB14</f>
        <v>370.563442634304</v>
      </c>
      <c r="AG14" s="26" t="n">
        <f aca="false">U14+(($V14+$W14+$X14+$Y14)*12/19)+$AC14</f>
        <v>370.563442634304</v>
      </c>
      <c r="AI14" s="24" t="str">
        <f aca="false">B14</f>
        <v>APS ALVORADA</v>
      </c>
      <c r="AJ14" s="69" t="n">
        <f aca="false">VLOOKUP(AI14,Unidades!D$5:H$27,5,)</f>
        <v>0.2849</v>
      </c>
      <c r="AK14" s="48" t="n">
        <f aca="false">AD14*(1+$AJ14)</f>
        <v>441.242238883574</v>
      </c>
      <c r="AL14" s="48" t="n">
        <f aca="false">AE14*(1+$AJ14)</f>
        <v>511.03169599806</v>
      </c>
      <c r="AM14" s="48" t="n">
        <f aca="false">AF14*(1+$AJ14)</f>
        <v>476.136967440817</v>
      </c>
      <c r="AN14" s="48" t="n">
        <f aca="false">AG14*(1+$AJ14)</f>
        <v>476.136967440817</v>
      </c>
      <c r="AO14" s="48" t="n">
        <f aca="false">((AK14*12)+(AL14*4)+(AM14*2)+AN14)/12</f>
        <v>730.620379409798</v>
      </c>
      <c r="AP14" s="48" t="n">
        <f aca="false">AO14*$AP$6</f>
        <v>1926.18100026219</v>
      </c>
      <c r="AQ14" s="48" t="n">
        <f aca="false">AO14+AP14</f>
        <v>2656.80137967199</v>
      </c>
      <c r="AR14" s="70"/>
      <c r="AS14" s="73" t="s">
        <v>74</v>
      </c>
      <c r="AT14" s="48" t="n">
        <f aca="false">AT10+AT12</f>
        <v>79178.1581445764</v>
      </c>
      <c r="AU14" s="48"/>
      <c r="AV14" s="72"/>
      <c r="AW14" s="72"/>
    </row>
    <row r="15" s="2" customFormat="true" ht="15" hidden="false" customHeight="true" outlineLevel="0" collapsed="false">
      <c r="B15" s="64" t="s">
        <v>93</v>
      </c>
      <c r="C15" s="65" t="n">
        <f aca="false">VLOOKUP($B15,Unidades!$D$5:$N$27,6,FALSE())</f>
        <v>10465.16</v>
      </c>
      <c r="D15" s="65" t="n">
        <f aca="false">VLOOKUP($B15,Unidades!$D$5:$N$27,7,FALSE())</f>
        <v>396.9</v>
      </c>
      <c r="E15" s="65" t="n">
        <f aca="false">VLOOKUP($B15,Unidades!$D$5:$N$27,8,FALSE())</f>
        <v>132.9</v>
      </c>
      <c r="F15" s="65" t="n">
        <f aca="false">VLOOKUP($B15,Unidades!$D$5:$N$27,9,FALSE())</f>
        <v>9935.36</v>
      </c>
      <c r="G15" s="65" t="n">
        <f aca="false">D15+E15*$E$6+F15*$F$6</f>
        <v>1436.951</v>
      </c>
      <c r="H15" s="66" t="n">
        <f aca="false">IF(G15&lt;750,1.5,IF(G15&lt;2000,2,IF(G15&lt;4000,3,12)))</f>
        <v>2</v>
      </c>
      <c r="I15" s="66" t="n">
        <f aca="false">$I$6*H15</f>
        <v>2.4</v>
      </c>
      <c r="J15" s="66" t="str">
        <f aca="false">VLOOKUP($B15,Unidades!$D$5:$N$27,10,FALSE())</f>
        <v>SIM</v>
      </c>
      <c r="K15" s="66" t="str">
        <f aca="false">VLOOKUP($B15,Unidades!$D$5:$N$27,11,FALSE())</f>
        <v>SIM</v>
      </c>
      <c r="L15" s="66" t="n">
        <f aca="false">$L$6*H15+(IF(J15="SIM",$J$6,0))</f>
        <v>4.2</v>
      </c>
      <c r="M15" s="66" t="n">
        <f aca="false">$M$6*H15+(IF(J15="SIM",$J$6,0))+(IF(K15="SIM",$K$6,0))</f>
        <v>8.2</v>
      </c>
      <c r="N15" s="66" t="n">
        <f aca="false">H15*12+I15*4+L15*2+M15</f>
        <v>50.2</v>
      </c>
      <c r="O15" s="67" t="n">
        <f aca="false">IF(K15="não", N15*(C$24+D$24),N15*(C$24+D$24)+(M15*+E$24))</f>
        <v>2728.0281572</v>
      </c>
      <c r="P15" s="68"/>
      <c r="Q15" s="24" t="str">
        <f aca="false">B15</f>
        <v>APS PORTO ALEGRE- CENTRO</v>
      </c>
      <c r="R15" s="26" t="n">
        <f aca="false">H15*($C$24+$D$24)</f>
        <v>97.918572</v>
      </c>
      <c r="S15" s="26" t="n">
        <f aca="false">I15*($C$24+$D$24)</f>
        <v>117.5022864</v>
      </c>
      <c r="T15" s="26" t="n">
        <f aca="false">L15*($C$24+$D$24)</f>
        <v>205.6290012</v>
      </c>
      <c r="U15" s="26" t="n">
        <f aca="false">IF(K15="não",M15*($C$24+$D$24),M15*(C$24+D$24+E$24))</f>
        <v>671.7381452</v>
      </c>
      <c r="V15" s="26" t="n">
        <f aca="false">VLOOKUP(Q15,'Desl. Base Porto Alegre'!$C$5:$S$18,13,FALSE())*($C$24+$D$24+$E$24*(VLOOKUP(Q15,'Desl. Base Porto Alegre'!$C$5:$S$18,17,FALSE())/12))</f>
        <v>9.47942465555556</v>
      </c>
      <c r="W15" s="26" t="n">
        <f aca="false">VLOOKUP(Q15,'Desl. Base Porto Alegre'!$C$5:$S$18,15,FALSE())*(2+(VLOOKUP(Q15,'Desl. Base Porto Alegre'!$C$5:$S$18,17,FALSE())/12))</f>
        <v>0</v>
      </c>
      <c r="X15" s="26" t="n">
        <f aca="false">VLOOKUP(Q15,'Desl. Base Porto Alegre'!$C$5:$Q$18,14,FALSE())</f>
        <v>0</v>
      </c>
      <c r="Y15" s="26" t="n">
        <f aca="false">VLOOKUP(Q15,'Desl. Base Porto Alegre'!$C$5:$Q$18,13,FALSE())*'Desl. Base Porto Alegre'!$E$23+'Desl. Base Porto Alegre'!$E$24*N15/12</f>
        <v>37.0658333333333</v>
      </c>
      <c r="Z15" s="26" t="n">
        <f aca="false">(H15/$AC$5)*'Equipe Técnica'!$C$13</f>
        <v>264.182017485493</v>
      </c>
      <c r="AA15" s="26" t="n">
        <f aca="false">(I15/$AC$5)*'Equipe Técnica'!$C$13</f>
        <v>317.018420982592</v>
      </c>
      <c r="AB15" s="26" t="n">
        <f aca="false">(L15/$AC$5)*'Equipe Técnica'!$C$13</f>
        <v>554.782236719536</v>
      </c>
      <c r="AC15" s="26" t="n">
        <f aca="false">(M15/$AC$5)*'Equipe Técnica'!$C$13</f>
        <v>1083.14627169052</v>
      </c>
      <c r="AD15" s="26" t="n">
        <f aca="false">R15+(($V15+$W15+$X15+$Y15)*12/19)+$Z15</f>
        <v>391.497594531107</v>
      </c>
      <c r="AE15" s="26" t="n">
        <f aca="false">S15+(($V15+$W15+$X15+$Y15)*12/19)+$AA15</f>
        <v>463.917712428206</v>
      </c>
      <c r="AF15" s="26" t="n">
        <f aca="false">T15+(($V15+$W15+$X15+$Y15)*12/19)+$AB15</f>
        <v>789.80824296515</v>
      </c>
      <c r="AG15" s="26" t="n">
        <f aca="false">U15+(($V15+$W15+$X15+$Y15)*12/19)+$AC15</f>
        <v>1784.28142193614</v>
      </c>
      <c r="AI15" s="24" t="str">
        <f aca="false">B15</f>
        <v>APS PORTO ALEGRE- CENTRO</v>
      </c>
      <c r="AJ15" s="69" t="n">
        <f aca="false">VLOOKUP(AI15,Unidades!D$5:H$27,5,)</f>
        <v>0.2994</v>
      </c>
      <c r="AK15" s="48" t="n">
        <f aca="false">AD15*(1+$AJ15)</f>
        <v>508.711974333721</v>
      </c>
      <c r="AL15" s="48" t="n">
        <f aca="false">AE15*(1+$AJ15)</f>
        <v>602.814675529211</v>
      </c>
      <c r="AM15" s="48" t="n">
        <f aca="false">AF15*(1+$AJ15)</f>
        <v>1026.27683090892</v>
      </c>
      <c r="AN15" s="48" t="n">
        <f aca="false">AG15*(1+$AJ15)</f>
        <v>2318.49527966381</v>
      </c>
      <c r="AO15" s="48" t="n">
        <f aca="false">((AK15*12)+(AL15*4)+(AM15*2)+AN15)/12</f>
        <v>1073.90427796693</v>
      </c>
      <c r="AP15" s="48" t="n">
        <f aca="false">AO15*$AP$6</f>
        <v>2831.20218736736</v>
      </c>
      <c r="AQ15" s="48" t="n">
        <f aca="false">AO15+AP15</f>
        <v>3905.10646533428</v>
      </c>
      <c r="AR15" s="70"/>
      <c r="AS15" s="73" t="s">
        <v>94</v>
      </c>
      <c r="AT15" s="48" t="n">
        <f aca="false">AT11+AT13</f>
        <v>950137.897734917</v>
      </c>
      <c r="AU15" s="48"/>
      <c r="AV15" s="70"/>
      <c r="AW15" s="70"/>
    </row>
    <row r="16" s="2" customFormat="true" ht="15" hidden="false" customHeight="true" outlineLevel="0" collapsed="false">
      <c r="B16" s="64" t="s">
        <v>95</v>
      </c>
      <c r="C16" s="65" t="n">
        <f aca="false">VLOOKUP($B16,Unidades!$D$5:$N$27,6,FALSE())</f>
        <v>10773</v>
      </c>
      <c r="D16" s="65" t="n">
        <f aca="false">VLOOKUP($B16,Unidades!$D$5:$N$27,7,FALSE())</f>
        <v>3538</v>
      </c>
      <c r="E16" s="65" t="n">
        <f aca="false">VLOOKUP($B16,Unidades!$D$5:$N$27,8,FALSE())</f>
        <v>2625.3</v>
      </c>
      <c r="F16" s="65" t="n">
        <f aca="false">VLOOKUP($B16,Unidades!$D$5:$N$27,9,FALSE())</f>
        <v>4609.7</v>
      </c>
      <c r="G16" s="65" t="n">
        <f aca="false">D16+E16*$E$6+F16*$F$6</f>
        <v>4917.825</v>
      </c>
      <c r="H16" s="66" t="n">
        <f aca="false">IF(G16&lt;750,1.5,IF(G16&lt;2000,2,IF(G16&lt;4000,3,12)))</f>
        <v>12</v>
      </c>
      <c r="I16" s="66" t="n">
        <f aca="false">$I$6*H16</f>
        <v>14.4</v>
      </c>
      <c r="J16" s="66" t="str">
        <f aca="false">VLOOKUP($B16,Unidades!$D$5:$N$27,10,FALSE())</f>
        <v>SIM</v>
      </c>
      <c r="K16" s="66" t="str">
        <f aca="false">VLOOKUP($B16,Unidades!$D$5:$N$27,11,FALSE())</f>
        <v>SIM</v>
      </c>
      <c r="L16" s="66" t="n">
        <f aca="false">$L$6*H16+(IF(J16="SIM",$J$6,0))</f>
        <v>15.2</v>
      </c>
      <c r="M16" s="66" t="n">
        <f aca="false">$M$6*H16+(IF(J16="SIM",$J$6,0))+(IF(K16="SIM",$K$6,0))</f>
        <v>19.2</v>
      </c>
      <c r="N16" s="66" t="n">
        <f aca="false">H16*12+I16*4+L16*2+M16</f>
        <v>251.2</v>
      </c>
      <c r="O16" s="67" t="n">
        <f aca="false">IF(K16="não", N16*(C$24+D$24),N16*(C$24+D$24)+(M16*+E$24))</f>
        <v>12931.4046432</v>
      </c>
      <c r="P16" s="68"/>
      <c r="Q16" s="24" t="str">
        <f aca="false">B16</f>
        <v>APS PORTO ALEGRE-PARTENON</v>
      </c>
      <c r="R16" s="26" t="n">
        <f aca="false">H16*($C$24+$D$24)</f>
        <v>587.511432</v>
      </c>
      <c r="S16" s="26" t="n">
        <f aca="false">I16*($C$24+$D$24)</f>
        <v>705.0137184</v>
      </c>
      <c r="T16" s="26" t="n">
        <f aca="false">L16*($C$24+$D$24)</f>
        <v>744.1811472</v>
      </c>
      <c r="U16" s="26" t="n">
        <f aca="false">IF(K16="não",M16*($C$24+$D$24),M16*(C$24+D$24+E$24))</f>
        <v>1572.8502912</v>
      </c>
      <c r="V16" s="26" t="n">
        <f aca="false">VLOOKUP(Q16,'Desl. Base Porto Alegre'!$C$5:$S$18,13,FALSE())*($C$24+$D$24+$E$24*(VLOOKUP(Q16,'Desl. Base Porto Alegre'!$C$5:$S$18,17,FALSE())/12))</f>
        <v>9.47942465555556</v>
      </c>
      <c r="W16" s="26" t="n">
        <f aca="false">VLOOKUP(Q16,'Desl. Base Porto Alegre'!$C$5:$S$18,15,FALSE())*(2+(VLOOKUP(Q16,'Desl. Base Porto Alegre'!$C$5:$S$18,17,FALSE())/12))</f>
        <v>0</v>
      </c>
      <c r="X16" s="26" t="n">
        <f aca="false">VLOOKUP(Q16,'Desl. Base Porto Alegre'!$C$5:$Q$18,14,FALSE())</f>
        <v>0</v>
      </c>
      <c r="Y16" s="26" t="n">
        <f aca="false">VLOOKUP(Q16,'Desl. Base Porto Alegre'!$C$5:$Q$18,13,FALSE())*'Desl. Base Porto Alegre'!$E$23+'Desl. Base Porto Alegre'!$E$24*N16/12</f>
        <v>146.945833333333</v>
      </c>
      <c r="Z16" s="26" t="n">
        <f aca="false">(H16/$AC$5)*'Equipe Técnica'!$C$13</f>
        <v>1585.09210491296</v>
      </c>
      <c r="AA16" s="26" t="n">
        <f aca="false">(I16/$AC$5)*'Equipe Técnica'!$C$13</f>
        <v>1902.11052589555</v>
      </c>
      <c r="AB16" s="26" t="n">
        <f aca="false">(L16/$AC$5)*'Equipe Técnica'!$C$13</f>
        <v>2007.78333288975</v>
      </c>
      <c r="AC16" s="26" t="n">
        <f aca="false">(M16/$AC$5)*'Equipe Técnica'!$C$13</f>
        <v>2536.14736786074</v>
      </c>
      <c r="AD16" s="26" t="n">
        <f aca="false">R16+(($V16+$W16+$X16+$Y16)*12/19)+$Z16</f>
        <v>2271.39843669542</v>
      </c>
      <c r="AE16" s="26" t="n">
        <f aca="false">S16+(($V16+$W16+$X16+$Y16)*12/19)+$AA16</f>
        <v>2705.91914407801</v>
      </c>
      <c r="AF16" s="26" t="n">
        <f aca="false">T16+(($V16+$W16+$X16+$Y16)*12/19)+$AB16</f>
        <v>2850.7593798722</v>
      </c>
      <c r="AG16" s="26" t="n">
        <f aca="false">U16+(($V16+$W16+$X16+$Y16)*12/19)+$AC16</f>
        <v>4207.79255884319</v>
      </c>
      <c r="AI16" s="24" t="str">
        <f aca="false">B16</f>
        <v>APS PORTO ALEGRE-PARTENON</v>
      </c>
      <c r="AJ16" s="69" t="n">
        <f aca="false">VLOOKUP(AI16,Unidades!D$5:H$27,5,)</f>
        <v>0.2994</v>
      </c>
      <c r="AK16" s="48" t="n">
        <f aca="false">AD16*(1+$AJ16)</f>
        <v>2951.45512864202</v>
      </c>
      <c r="AL16" s="48" t="n">
        <f aca="false">AE16*(1+$AJ16)</f>
        <v>3516.07133581496</v>
      </c>
      <c r="AM16" s="48" t="n">
        <f aca="false">AF16*(1+$AJ16)</f>
        <v>3704.27673820594</v>
      </c>
      <c r="AN16" s="48" t="n">
        <f aca="false">AG16*(1+$AJ16)</f>
        <v>5467.60565096084</v>
      </c>
      <c r="AO16" s="48" t="n">
        <f aca="false">((AK16*12)+(AL16*4)+(AM16*2)+AN16)/12</f>
        <v>5196.4921678614</v>
      </c>
      <c r="AP16" s="48" t="n">
        <f aca="false">AO16*$AP$6</f>
        <v>13699.8429879982</v>
      </c>
      <c r="AQ16" s="48" t="n">
        <f aca="false">AO16+AP16</f>
        <v>18896.3351558596</v>
      </c>
      <c r="AR16" s="70"/>
      <c r="AS16" s="70"/>
      <c r="AT16" s="70"/>
      <c r="AU16" s="70"/>
      <c r="AV16" s="70"/>
      <c r="AW16" s="70"/>
    </row>
    <row r="17" s="2" customFormat="true" ht="15" hidden="false" customHeight="true" outlineLevel="0" collapsed="false">
      <c r="B17" s="64" t="s">
        <v>96</v>
      </c>
      <c r="C17" s="65" t="n">
        <f aca="false">VLOOKUP($B17,Unidades!$D$5:$N$27,6,FALSE())</f>
        <v>398</v>
      </c>
      <c r="D17" s="65" t="n">
        <f aca="false">VLOOKUP($B17,Unidades!$D$5:$N$27,7,FALSE())</f>
        <v>350</v>
      </c>
      <c r="E17" s="65" t="n">
        <f aca="false">VLOOKUP($B17,Unidades!$D$5:$N$27,8,FALSE())</f>
        <v>48</v>
      </c>
      <c r="F17" s="65" t="n">
        <f aca="false">VLOOKUP($B17,Unidades!$D$5:$N$27,9,FALSE())</f>
        <v>0</v>
      </c>
      <c r="G17" s="65" t="n">
        <f aca="false">D17+E17*$E$6+F17*$F$6</f>
        <v>366.8</v>
      </c>
      <c r="H17" s="66" t="n">
        <f aca="false">IF(G17&lt;750,1.5,IF(G17&lt;2000,2,IF(G17&lt;4000,3,12)))</f>
        <v>1.5</v>
      </c>
      <c r="I17" s="66" t="n">
        <f aca="false">$I$6*H17</f>
        <v>1.8</v>
      </c>
      <c r="J17" s="66" t="str">
        <f aca="false">VLOOKUP($B17,Unidades!$D$5:$N$27,10,FALSE())</f>
        <v>NÃO</v>
      </c>
      <c r="K17" s="66" t="str">
        <f aca="false">VLOOKUP($B17,Unidades!$D$5:$N$27,11,FALSE())</f>
        <v>SIM</v>
      </c>
      <c r="L17" s="66" t="n">
        <f aca="false">$L$6*H17+(IF(J17="SIM",$J$6,0))</f>
        <v>1.65</v>
      </c>
      <c r="M17" s="66" t="n">
        <f aca="false">$M$6*H17+(IF(J17="SIM",$J$6,0))+(IF(K17="SIM",$K$6,0))</f>
        <v>5.65</v>
      </c>
      <c r="N17" s="66" t="n">
        <f aca="false">H17*12+I17*4+L17*2+M17</f>
        <v>34.15</v>
      </c>
      <c r="O17" s="67" t="n">
        <f aca="false">IF(K17="não", N17*(C$24+D$24),N17*(C$24+D$24)+(M17*+E$24))</f>
        <v>1858.1836169</v>
      </c>
      <c r="P17" s="68"/>
      <c r="Q17" s="24" t="str">
        <f aca="false">B17</f>
        <v>APS PORTO ALEGRE-SUL</v>
      </c>
      <c r="R17" s="26" t="n">
        <f aca="false">H17*($C$24+$D$24)</f>
        <v>73.438929</v>
      </c>
      <c r="S17" s="26" t="n">
        <f aca="false">I17*($C$24+$D$24)</f>
        <v>88.1267148</v>
      </c>
      <c r="T17" s="26" t="n">
        <f aca="false">L17*($C$24+$D$24)</f>
        <v>80.7828219</v>
      </c>
      <c r="U17" s="26" t="n">
        <f aca="false">IF(K17="não",M17*($C$24+$D$24),M17*(C$24+D$24+E$24))</f>
        <v>462.8439659</v>
      </c>
      <c r="V17" s="26" t="n">
        <f aca="false">VLOOKUP(Q17,'Desl. Base Porto Alegre'!$C$5:$S$18,13,FALSE())*($C$24+$D$24+$E$24*(VLOOKUP(Q17,'Desl. Base Porto Alegre'!$C$5:$S$18,17,FALSE())/12))</f>
        <v>27.5765080888889</v>
      </c>
      <c r="W17" s="26" t="n">
        <f aca="false">VLOOKUP(Q17,'Desl. Base Porto Alegre'!$C$5:$S$18,15,FALSE())*(2+(VLOOKUP(Q17,'Desl. Base Porto Alegre'!$C$5:$S$18,17,FALSE())/12))</f>
        <v>0</v>
      </c>
      <c r="X17" s="26" t="n">
        <f aca="false">VLOOKUP(Q17,'Desl. Base Porto Alegre'!$C$5:$Q$18,14,FALSE())</f>
        <v>0</v>
      </c>
      <c r="Y17" s="26" t="n">
        <f aca="false">VLOOKUP(Q17,'Desl. Base Porto Alegre'!$C$5:$Q$18,13,FALSE())*'Desl. Base Porto Alegre'!$E$23+'Desl. Base Porto Alegre'!$E$24*N17/12</f>
        <v>46.6633333333333</v>
      </c>
      <c r="Z17" s="26" t="n">
        <f aca="false">(H17/$AC$5)*'Equipe Técnica'!$C$13</f>
        <v>198.13651311412</v>
      </c>
      <c r="AA17" s="26" t="n">
        <f aca="false">(I17/$AC$5)*'Equipe Técnica'!$C$13</f>
        <v>237.763815736944</v>
      </c>
      <c r="AB17" s="26" t="n">
        <f aca="false">(L17/$AC$5)*'Equipe Técnica'!$C$13</f>
        <v>217.950164425532</v>
      </c>
      <c r="AC17" s="26" t="n">
        <f aca="false">(M17/$AC$5)*'Equipe Técnica'!$C$13</f>
        <v>746.314199396518</v>
      </c>
      <c r="AD17" s="26" t="n">
        <f aca="false">R17+(($V17+$W17+$X17+$Y17)*12/19)+$Z17</f>
        <v>318.463763012365</v>
      </c>
      <c r="AE17" s="26" t="n">
        <f aca="false">S17+(($V17+$W17+$X17+$Y17)*12/19)+$AA17</f>
        <v>372.77885143519</v>
      </c>
      <c r="AF17" s="26" t="n">
        <f aca="false">T17+(($V17+$W17+$X17+$Y17)*12/19)+$AB17</f>
        <v>345.621307223778</v>
      </c>
      <c r="AG17" s="26" t="n">
        <f aca="false">U17+(($V17+$W17+$X17+$Y17)*12/19)+$AC17</f>
        <v>1256.04648619476</v>
      </c>
      <c r="AI17" s="24" t="str">
        <f aca="false">B17</f>
        <v>APS PORTO ALEGRE-SUL</v>
      </c>
      <c r="AJ17" s="69" t="n">
        <f aca="false">VLOOKUP(AI17,Unidades!D$5:H$27,5,)</f>
        <v>0.2994</v>
      </c>
      <c r="AK17" s="48" t="n">
        <f aca="false">AD17*(1+$AJ17)</f>
        <v>413.811813658268</v>
      </c>
      <c r="AL17" s="48" t="n">
        <f aca="false">AE17*(1+$AJ17)</f>
        <v>484.388839554885</v>
      </c>
      <c r="AM17" s="48" t="n">
        <f aca="false">AF17*(1+$AJ17)</f>
        <v>449.100326606577</v>
      </c>
      <c r="AN17" s="48" t="n">
        <f aca="false">AG17*(1+$AJ17)</f>
        <v>1632.10680416148</v>
      </c>
      <c r="AO17" s="48" t="n">
        <f aca="false">((AK17*12)+(AL17*4)+(AM17*2)+AN17)/12</f>
        <v>786.133714957782</v>
      </c>
      <c r="AP17" s="48" t="n">
        <f aca="false">AO17*$AP$6</f>
        <v>2072.53433943415</v>
      </c>
      <c r="AQ17" s="48" t="n">
        <f aca="false">AO17+AP17</f>
        <v>2858.66805439193</v>
      </c>
      <c r="AR17" s="70"/>
      <c r="AS17" s="70"/>
      <c r="AT17" s="70"/>
      <c r="AU17" s="70"/>
      <c r="AV17" s="70"/>
      <c r="AW17" s="70"/>
    </row>
    <row r="18" s="2" customFormat="true" ht="15" hidden="false" customHeight="true" outlineLevel="0" collapsed="false">
      <c r="B18" s="64" t="s">
        <v>97</v>
      </c>
      <c r="C18" s="65" t="n">
        <f aca="false">VLOOKUP($B18,Unidades!$D$5:$N$27,6,FALSE())</f>
        <v>3131</v>
      </c>
      <c r="D18" s="65" t="n">
        <f aca="false">VLOOKUP($B18,Unidades!$D$5:$N$27,7,FALSE())</f>
        <v>138</v>
      </c>
      <c r="E18" s="65" t="n">
        <f aca="false">VLOOKUP($B18,Unidades!$D$5:$N$27,8,FALSE())</f>
        <v>2993</v>
      </c>
      <c r="F18" s="65" t="n">
        <f aca="false">VLOOKUP($B18,Unidades!$D$5:$N$27,9,FALSE())</f>
        <v>0</v>
      </c>
      <c r="G18" s="65" t="n">
        <f aca="false">D18+E18*$E$6+F18*$F$6</f>
        <v>1185.55</v>
      </c>
      <c r="H18" s="66" t="n">
        <f aca="false">IF(G18&lt;750,1.5,IF(G18&lt;2000,2,IF(G18&lt;4000,3,12)))</f>
        <v>2</v>
      </c>
      <c r="I18" s="66" t="n">
        <f aca="false">$I$6*H18</f>
        <v>2.4</v>
      </c>
      <c r="J18" s="66" t="str">
        <f aca="false">VLOOKUP($B18,Unidades!$D$5:$N$27,10,FALSE())</f>
        <v>SIM</v>
      </c>
      <c r="K18" s="66" t="str">
        <f aca="false">VLOOKUP($B18,Unidades!$D$5:$N$27,11,FALSE())</f>
        <v>SIM</v>
      </c>
      <c r="L18" s="66" t="n">
        <f aca="false">$L$6*H18+(IF(J18="SIM",$J$6,0))</f>
        <v>4.2</v>
      </c>
      <c r="M18" s="66" t="n">
        <f aca="false">$M$6*H18+(IF(J18="SIM",$J$6,0))+(IF(K18="SIM",$K$6,0))</f>
        <v>8.2</v>
      </c>
      <c r="N18" s="66" t="n">
        <f aca="false">H18*12+I18*4+L18*2+M18</f>
        <v>50.2</v>
      </c>
      <c r="O18" s="67" t="n">
        <f aca="false">IF(K18="não", N18*(C$24+D$24),N18*(C$24+D$24)+(M18*+E$24))</f>
        <v>2728.0281572</v>
      </c>
      <c r="P18" s="68"/>
      <c r="Q18" s="24" t="str">
        <f aca="false">B18</f>
        <v>CEDOCPREV PORTO ALEGRE</v>
      </c>
      <c r="R18" s="26" t="n">
        <f aca="false">H18*($C$24+$D$24)</f>
        <v>97.918572</v>
      </c>
      <c r="S18" s="26" t="n">
        <f aca="false">I18*($C$24+$D$24)</f>
        <v>117.5022864</v>
      </c>
      <c r="T18" s="26" t="n">
        <f aca="false">L18*($C$24+$D$24)</f>
        <v>205.6290012</v>
      </c>
      <c r="U18" s="26" t="n">
        <f aca="false">IF(K18="não",M18*($C$24+$D$24),M18*(C$24+D$24+E$24))</f>
        <v>671.7381452</v>
      </c>
      <c r="V18" s="26" t="n">
        <f aca="false">VLOOKUP(Q18,'Desl. Base Porto Alegre'!$C$5:$S$18,13,FALSE())*($C$24+$D$24+$E$24*(VLOOKUP(Q18,'Desl. Base Porto Alegre'!$C$5:$S$18,17,FALSE())/12))</f>
        <v>27.5765080888889</v>
      </c>
      <c r="W18" s="26" t="n">
        <f aca="false">VLOOKUP(Q18,'Desl. Base Porto Alegre'!$C$5:$S$18,15,FALSE())*(2+(VLOOKUP(Q18,'Desl. Base Porto Alegre'!$C$5:$S$18,17,FALSE())/12))</f>
        <v>0</v>
      </c>
      <c r="X18" s="26" t="n">
        <f aca="false">VLOOKUP(Q18,'Desl. Base Porto Alegre'!$C$5:$Q$18,14,FALSE())</f>
        <v>0</v>
      </c>
      <c r="Y18" s="26" t="n">
        <f aca="false">VLOOKUP(Q18,'Desl. Base Porto Alegre'!$C$5:$Q$18,13,FALSE())*'Desl. Base Porto Alegre'!$E$23+'Desl. Base Porto Alegre'!$E$24*N18/12</f>
        <v>55.4373333333333</v>
      </c>
      <c r="Z18" s="26" t="n">
        <f aca="false">(H18/$AC$5)*'Equipe Técnica'!$C$13</f>
        <v>264.182017485493</v>
      </c>
      <c r="AA18" s="26" t="n">
        <f aca="false">(I18/$AC$5)*'Equipe Técnica'!$C$13</f>
        <v>317.018420982592</v>
      </c>
      <c r="AB18" s="26" t="n">
        <f aca="false">(L18/$AC$5)*'Equipe Técnica'!$C$13</f>
        <v>554.782236719536</v>
      </c>
      <c r="AC18" s="26" t="n">
        <f aca="false">(M18/$AC$5)*'Equipe Técnica'!$C$13</f>
        <v>1083.14627169052</v>
      </c>
      <c r="AD18" s="26" t="n">
        <f aca="false">R18+(($V18+$W18+$X18+$Y18)*12/19)+$Z18</f>
        <v>414.530384067949</v>
      </c>
      <c r="AE18" s="26" t="n">
        <f aca="false">S18+(($V18+$W18+$X18+$Y18)*12/19)+$AA18</f>
        <v>486.950501965048</v>
      </c>
      <c r="AF18" s="26" t="n">
        <f aca="false">T18+(($V18+$W18+$X18+$Y18)*12/19)+$AB18</f>
        <v>812.841032501992</v>
      </c>
      <c r="AG18" s="26" t="n">
        <f aca="false">U18+(($V18+$W18+$X18+$Y18)*12/19)+$AC18</f>
        <v>1807.31421147298</v>
      </c>
      <c r="AI18" s="24" t="str">
        <f aca="false">B18</f>
        <v>CEDOCPREV PORTO ALEGRE</v>
      </c>
      <c r="AJ18" s="69" t="n">
        <f aca="false">VLOOKUP(AI18,Unidades!D$5:H$27,5,)</f>
        <v>0.2994</v>
      </c>
      <c r="AK18" s="48" t="n">
        <f aca="false">AD18*(1+$AJ18)</f>
        <v>538.640781057893</v>
      </c>
      <c r="AL18" s="48" t="n">
        <f aca="false">AE18*(1+$AJ18)</f>
        <v>632.743482253383</v>
      </c>
      <c r="AM18" s="48" t="n">
        <f aca="false">AF18*(1+$AJ18)</f>
        <v>1056.20563763309</v>
      </c>
      <c r="AN18" s="48" t="n">
        <f aca="false">AG18*(1+$AJ18)</f>
        <v>2348.42408638799</v>
      </c>
      <c r="AO18" s="48" t="n">
        <f aca="false">((AK18*12)+(AL18*4)+(AM18*2)+AN18)/12</f>
        <v>1121.2915552802</v>
      </c>
      <c r="AP18" s="48" t="n">
        <f aca="false">AO18*$AP$6</f>
        <v>2956.13228210235</v>
      </c>
      <c r="AQ18" s="48" t="n">
        <f aca="false">AO18+AP18</f>
        <v>4077.42383738255</v>
      </c>
      <c r="AR18" s="70"/>
      <c r="AS18" s="70"/>
      <c r="AT18" s="70"/>
      <c r="AU18" s="70"/>
      <c r="AV18" s="70"/>
      <c r="AW18" s="70"/>
    </row>
    <row r="19" s="2" customFormat="true" ht="15" hidden="false" customHeight="true" outlineLevel="0" collapsed="false">
      <c r="B19" s="64" t="s">
        <v>98</v>
      </c>
      <c r="C19" s="65" t="n">
        <f aca="false">VLOOKUP($B19,Unidades!$D$5:$N$27,6,FALSE())</f>
        <v>18091</v>
      </c>
      <c r="D19" s="65" t="n">
        <f aca="false">VLOOKUP($B19,Unidades!$D$5:$N$27,7,FALSE())</f>
        <v>9045.5</v>
      </c>
      <c r="E19" s="65" t="n">
        <f aca="false">VLOOKUP($B19,Unidades!$D$5:$N$27,8,FALSE())</f>
        <v>2713.65</v>
      </c>
      <c r="F19" s="65" t="n">
        <f aca="false">VLOOKUP($B19,Unidades!$D$5:$N$27,9,FALSE())</f>
        <v>6331.85</v>
      </c>
      <c r="G19" s="65" t="n">
        <f aca="false">D19+E19*$E$6+F19*$F$6</f>
        <v>10628.4625</v>
      </c>
      <c r="H19" s="66" t="n">
        <f aca="false">IF(G19&lt;750,1.5,IF(G19&lt;2000,2,IF(G19&lt;4000,3,12)))</f>
        <v>12</v>
      </c>
      <c r="I19" s="66" t="n">
        <f aca="false">$I$6*H19</f>
        <v>14.4</v>
      </c>
      <c r="J19" s="66" t="str">
        <f aca="false">VLOOKUP($B19,Unidades!$D$5:$N$27,10,FALSE())</f>
        <v>SIM</v>
      </c>
      <c r="K19" s="66" t="str">
        <f aca="false">VLOOKUP($B19,Unidades!$D$5:$N$27,11,FALSE())</f>
        <v>SIM</v>
      </c>
      <c r="L19" s="66" t="n">
        <f aca="false">$L$6*H19+(IF(J19="SIM",$J$6,0))</f>
        <v>15.2</v>
      </c>
      <c r="M19" s="66" t="n">
        <f aca="false">$M$6*H19+(IF(J19="SIM",$J$6,0))+(IF(K19="SIM",$K$6,0))</f>
        <v>19.2</v>
      </c>
      <c r="N19" s="66" t="n">
        <f aca="false">H19*12+I19*4+L19*2+M19</f>
        <v>251.2</v>
      </c>
      <c r="O19" s="67" t="n">
        <f aca="false">IF(K19="não", N19*(C$24+D$24),N19*(C$24+D$24)+(M19*+E$24))</f>
        <v>12931.4046432</v>
      </c>
      <c r="P19" s="68"/>
      <c r="Q19" s="24" t="str">
        <f aca="false">B19</f>
        <v>GEX PORTO ALEGRE</v>
      </c>
      <c r="R19" s="26" t="n">
        <f aca="false">H19*($C$24+$D$24)</f>
        <v>587.511432</v>
      </c>
      <c r="S19" s="26" t="n">
        <f aca="false">I19*($C$24+$D$24)</f>
        <v>705.0137184</v>
      </c>
      <c r="T19" s="26" t="n">
        <f aca="false">L19*($C$24+$D$24)</f>
        <v>744.1811472</v>
      </c>
      <c r="U19" s="26" t="n">
        <f aca="false">IF(K19="não",M19*($C$24+$D$24),M19*(C$24+D$24+E$24))</f>
        <v>1572.8502912</v>
      </c>
      <c r="V19" s="26" t="n">
        <f aca="false">VLOOKUP(Q19,'Desl. Base Porto Alegre'!$C$5:$S$18,13,FALSE())*($C$24+$D$24+$E$24*(VLOOKUP(Q19,'Desl. Base Porto Alegre'!$C$5:$S$18,17,FALSE())/12))</f>
        <v>1.72353175555556</v>
      </c>
      <c r="W19" s="26" t="n">
        <f aca="false">VLOOKUP(Q19,'Desl. Base Porto Alegre'!$C$5:$S$18,15,FALSE())*(2+(VLOOKUP(Q19,'Desl. Base Porto Alegre'!$C$5:$S$18,17,FALSE())/12))</f>
        <v>0</v>
      </c>
      <c r="X19" s="26" t="n">
        <f aca="false">VLOOKUP(Q19,'Desl. Base Porto Alegre'!$C$5:$Q$18,14,FALSE())</f>
        <v>0</v>
      </c>
      <c r="Y19" s="26" t="n">
        <f aca="false">VLOOKUP(Q19,'Desl. Base Porto Alegre'!$C$5:$Q$18,13,FALSE())*'Desl. Base Porto Alegre'!$E$23+'Desl. Base Porto Alegre'!$E$24*N19/12</f>
        <v>139.072333333333</v>
      </c>
      <c r="Z19" s="26" t="n">
        <f aca="false">(H19/$AC$5)*'Equipe Técnica'!$C$13</f>
        <v>1585.09210491296</v>
      </c>
      <c r="AA19" s="26" t="n">
        <f aca="false">(I19/$AC$5)*'Equipe Técnica'!$C$13</f>
        <v>1902.11052589555</v>
      </c>
      <c r="AB19" s="26" t="n">
        <f aca="false">(L19/$AC$5)*'Equipe Técnica'!$C$13</f>
        <v>2007.78333288975</v>
      </c>
      <c r="AC19" s="26" t="n">
        <f aca="false">(M19/$AC$5)*'Equipe Técnica'!$C$13</f>
        <v>2536.14736786074</v>
      </c>
      <c r="AD19" s="26" t="n">
        <f aca="false">R19+(($V19+$W19+$X19+$Y19)*12/19)+$Z19</f>
        <v>2261.52724117963</v>
      </c>
      <c r="AE19" s="26" t="n">
        <f aca="false">S19+(($V19+$W19+$X19+$Y19)*12/19)+$AA19</f>
        <v>2696.04794856222</v>
      </c>
      <c r="AF19" s="26" t="n">
        <f aca="false">T19+(($V19+$W19+$X19+$Y19)*12/19)+$AB19</f>
        <v>2840.88818435642</v>
      </c>
      <c r="AG19" s="26" t="n">
        <f aca="false">U19+(($V19+$W19+$X19+$Y19)*12/19)+$AC19</f>
        <v>4197.9213633274</v>
      </c>
      <c r="AI19" s="24" t="str">
        <f aca="false">B19</f>
        <v>GEX PORTO ALEGRE</v>
      </c>
      <c r="AJ19" s="69" t="n">
        <f aca="false">VLOOKUP(AI19,Unidades!D$5:H$27,5,)</f>
        <v>0.2994</v>
      </c>
      <c r="AK19" s="48" t="n">
        <f aca="false">AD19*(1+$AJ19)</f>
        <v>2938.62849718881</v>
      </c>
      <c r="AL19" s="48" t="n">
        <f aca="false">AE19*(1+$AJ19)</f>
        <v>3503.24470436175</v>
      </c>
      <c r="AM19" s="48" t="n">
        <f aca="false">AF19*(1+$AJ19)</f>
        <v>3691.45010675273</v>
      </c>
      <c r="AN19" s="48" t="n">
        <f aca="false">AG19*(1+$AJ19)</f>
        <v>5454.77901950763</v>
      </c>
      <c r="AO19" s="48" t="n">
        <f aca="false">((AK19*12)+(AL19*4)+(AM19*2)+AN19)/12</f>
        <v>5176.18333472714</v>
      </c>
      <c r="AP19" s="48" t="n">
        <f aca="false">AO19*$AP$6</f>
        <v>13646.3015188261</v>
      </c>
      <c r="AQ19" s="48" t="n">
        <f aca="false">AO19+AP19</f>
        <v>18822.4848535532</v>
      </c>
      <c r="AR19" s="70"/>
      <c r="AS19" s="70"/>
      <c r="AT19" s="70"/>
      <c r="AU19" s="70"/>
      <c r="AV19" s="70"/>
      <c r="AW19" s="70"/>
    </row>
    <row r="20" s="2" customFormat="true" ht="15" hidden="false" customHeight="true" outlineLevel="0" collapsed="false">
      <c r="B20" s="64" t="s">
        <v>99</v>
      </c>
      <c r="C20" s="65" t="n">
        <f aca="false">VLOOKUP($B20,Unidades!$D$5:$N$27,6,FALSE())</f>
        <v>7872</v>
      </c>
      <c r="D20" s="65" t="n">
        <f aca="false">VLOOKUP($B20,Unidades!$D$5:$N$27,7,FALSE())</f>
        <v>0</v>
      </c>
      <c r="E20" s="65" t="n">
        <f aca="false">VLOOKUP($B20,Unidades!$D$5:$N$27,8,FALSE())</f>
        <v>0</v>
      </c>
      <c r="F20" s="65" t="n">
        <f aca="false">VLOOKUP($B20,Unidades!$D$5:$N$27,9,FALSE())</f>
        <v>7872</v>
      </c>
      <c r="G20" s="65" t="n">
        <f aca="false">D20+E20*$E$6+F20*$F$6</f>
        <v>787.2</v>
      </c>
      <c r="H20" s="66" t="n">
        <f aca="false">IF(G20&lt;750,1.5,IF(G20&lt;2000,2,IF(G20&lt;4000,3,12)))</f>
        <v>2</v>
      </c>
      <c r="I20" s="66" t="n">
        <f aca="false">$I$6*H20</f>
        <v>2.4</v>
      </c>
      <c r="J20" s="66" t="str">
        <f aca="false">VLOOKUP($B20,Unidades!$D$5:$N$27,10,FALSE())</f>
        <v>NÃO</v>
      </c>
      <c r="K20" s="66" t="str">
        <f aca="false">VLOOKUP($B20,Unidades!$D$5:$N$27,11,FALSE())</f>
        <v>SIM</v>
      </c>
      <c r="L20" s="66" t="n">
        <f aca="false">$L$6*H20+(IF(J20="SIM",$J$6,0))</f>
        <v>2.2</v>
      </c>
      <c r="M20" s="66" t="n">
        <f aca="false">$M$6*H20+(IF(J20="SIM",$J$6,0))+(IF(K20="SIM",$K$6,0))</f>
        <v>6.2</v>
      </c>
      <c r="N20" s="66" t="n">
        <f aca="false">H20*12+I20*4+L20*2+M20</f>
        <v>44.2</v>
      </c>
      <c r="O20" s="67" t="n">
        <f aca="false">IF(K20="não", N20*(C$24+D$24),N20*(C$24+D$24)+(M20*+E$24))</f>
        <v>2368.3524412</v>
      </c>
      <c r="P20" s="68"/>
      <c r="Q20" s="24" t="str">
        <f aca="false">B20</f>
        <v>IPASE PORTO ALEGRE</v>
      </c>
      <c r="R20" s="26" t="n">
        <f aca="false">H20*($C$24+$D$24)</f>
        <v>97.918572</v>
      </c>
      <c r="S20" s="26" t="n">
        <f aca="false">I20*($C$24+$D$24)</f>
        <v>117.5022864</v>
      </c>
      <c r="T20" s="26" t="n">
        <f aca="false">L20*($C$24+$D$24)</f>
        <v>107.7104292</v>
      </c>
      <c r="U20" s="26" t="n">
        <f aca="false">IF(K20="não",M20*($C$24+$D$24),M20*(C$24+D$24+E$24))</f>
        <v>507.8995732</v>
      </c>
      <c r="V20" s="26" t="n">
        <f aca="false">VLOOKUP(Q20,'Desl. Base Porto Alegre'!$C$5:$S$18,13,FALSE())*($C$24+$D$24+$E$24*(VLOOKUP(Q20,'Desl. Base Porto Alegre'!$C$5:$S$18,17,FALSE())/12))</f>
        <v>1.72353175555556</v>
      </c>
      <c r="W20" s="26" t="n">
        <f aca="false">VLOOKUP(Q20,'Desl. Base Porto Alegre'!$C$5:$S$18,15,FALSE())*(2+(VLOOKUP(Q20,'Desl. Base Porto Alegre'!$C$5:$S$18,17,FALSE())/12))</f>
        <v>0</v>
      </c>
      <c r="X20" s="26" t="n">
        <f aca="false">VLOOKUP(Q20,'Desl. Base Porto Alegre'!$C$5:$Q$18,14,FALSE())</f>
        <v>0</v>
      </c>
      <c r="Y20" s="26" t="n">
        <f aca="false">VLOOKUP(Q20,'Desl. Base Porto Alegre'!$C$5:$Q$18,13,FALSE())*'Desl. Base Porto Alegre'!$E$23+'Desl. Base Porto Alegre'!$E$24*N20/12</f>
        <v>25.9123333333333</v>
      </c>
      <c r="Z20" s="26" t="n">
        <f aca="false">(H20/$AC$5)*'Equipe Técnica'!$C$13</f>
        <v>264.182017485493</v>
      </c>
      <c r="AA20" s="26" t="n">
        <f aca="false">(I20/$AC$5)*'Equipe Técnica'!$C$13</f>
        <v>317.018420982592</v>
      </c>
      <c r="AB20" s="26" t="n">
        <f aca="false">(L20/$AC$5)*'Equipe Técnica'!$C$13</f>
        <v>290.600219234043</v>
      </c>
      <c r="AC20" s="26" t="n">
        <f aca="false">(M20/$AC$5)*'Equipe Técnica'!$C$13</f>
        <v>818.964254205029</v>
      </c>
      <c r="AD20" s="26" t="n">
        <f aca="false">R20+(($V20+$W20+$X20+$Y20)*12/19)+$Z20</f>
        <v>379.554820067949</v>
      </c>
      <c r="AE20" s="26" t="n">
        <f aca="false">S20+(($V20+$W20+$X20+$Y20)*12/19)+$AA20</f>
        <v>451.974937965048</v>
      </c>
      <c r="AF20" s="26" t="n">
        <f aca="false">T20+(($V20+$W20+$X20+$Y20)*12/19)+$AB20</f>
        <v>415.764879016499</v>
      </c>
      <c r="AG20" s="26" t="n">
        <f aca="false">U20+(($V20+$W20+$X20+$Y20)*12/19)+$AC20</f>
        <v>1344.31805798749</v>
      </c>
      <c r="AI20" s="24" t="str">
        <f aca="false">B20</f>
        <v>IPASE PORTO ALEGRE</v>
      </c>
      <c r="AJ20" s="69" t="n">
        <f aca="false">VLOOKUP(AI20,Unidades!D$5:H$27,5,)</f>
        <v>0.2994</v>
      </c>
      <c r="AK20" s="48" t="n">
        <f aca="false">AD20*(1+$AJ20)</f>
        <v>493.193533196293</v>
      </c>
      <c r="AL20" s="48" t="n">
        <f aca="false">AE20*(1+$AJ20)</f>
        <v>587.296234391783</v>
      </c>
      <c r="AM20" s="48" t="n">
        <f aca="false">AF20*(1+$AJ20)</f>
        <v>540.244883794038</v>
      </c>
      <c r="AN20" s="48" t="n">
        <f aca="false">AG20*(1+$AJ20)</f>
        <v>1746.80688454894</v>
      </c>
      <c r="AO20" s="48" t="n">
        <f aca="false">((AK20*12)+(AL20*4)+(AM20*2)+AN20)/12</f>
        <v>924.566999004972</v>
      </c>
      <c r="AP20" s="48" t="n">
        <f aca="false">AO20*$AP$6</f>
        <v>2437.49481555856</v>
      </c>
      <c r="AQ20" s="48" t="n">
        <f aca="false">AO20+AP20</f>
        <v>3362.06181456354</v>
      </c>
      <c r="AR20" s="70"/>
      <c r="AS20" s="70"/>
      <c r="AT20" s="70"/>
      <c r="AU20" s="70"/>
      <c r="AV20" s="70"/>
      <c r="AW20" s="70"/>
    </row>
    <row r="21" s="55" customFormat="true" ht="19.5" hidden="false" customHeight="true" outlineLevel="0" collapsed="false">
      <c r="B21" s="74" t="s">
        <v>100</v>
      </c>
      <c r="C21" s="75" t="n">
        <f aca="false">SUM(C7:C20)</f>
        <v>61793.45</v>
      </c>
      <c r="D21" s="75" t="n">
        <f aca="false">SUM(D7:D20)</f>
        <v>19362.77</v>
      </c>
      <c r="E21" s="75" t="n">
        <f aca="false">SUM(E7:E20)</f>
        <v>11227.72</v>
      </c>
      <c r="F21" s="75" t="n">
        <f aca="false">SUM(F7:F20)</f>
        <v>31202.96</v>
      </c>
      <c r="G21" s="75" t="n">
        <f aca="false">SUM(G7:G20)</f>
        <v>26412.768</v>
      </c>
      <c r="H21" s="76" t="n">
        <f aca="false">SUM(H7:H20)</f>
        <v>46.5</v>
      </c>
      <c r="I21" s="76" t="n">
        <f aca="false">SUM(I7:I20)</f>
        <v>55.8</v>
      </c>
      <c r="J21" s="76" t="n">
        <f aca="false">COUNTIF(J7:J20,"SIM")</f>
        <v>7</v>
      </c>
      <c r="K21" s="76" t="n">
        <f aca="false">COUNTIF(K7:K20,"SIM")</f>
        <v>10</v>
      </c>
      <c r="L21" s="76" t="n">
        <f aca="false">SUM(L7:L20)</f>
        <v>65.15</v>
      </c>
      <c r="M21" s="76" t="n">
        <f aca="false">SUM(M7:M20)</f>
        <v>105.15</v>
      </c>
      <c r="N21" s="76" t="n">
        <f aca="false">SUM(N7:N20)</f>
        <v>1016.65</v>
      </c>
      <c r="O21" s="77" t="n">
        <f aca="false">SUM(O7:O20)</f>
        <v>53022.6661119</v>
      </c>
      <c r="P21" s="78"/>
      <c r="Q21" s="76" t="s">
        <v>100</v>
      </c>
      <c r="R21" s="79" t="n">
        <f aca="false">SUM(R7:R20)</f>
        <v>2276.606799</v>
      </c>
      <c r="S21" s="79" t="n">
        <f aca="false">SUM(S7:S20)</f>
        <v>2731.9281588</v>
      </c>
      <c r="T21" s="79" t="n">
        <f aca="false">SUM(T7:T20)</f>
        <v>3189.6974829</v>
      </c>
      <c r="U21" s="79" t="n">
        <f aca="false">SUM(U7:U20)</f>
        <v>8396.2769229</v>
      </c>
      <c r="V21" s="79" t="n">
        <f aca="false">SUM(V7:V20)</f>
        <v>340.397521722222</v>
      </c>
      <c r="W21" s="79" t="n">
        <f aca="false">SUM(W7:W20)</f>
        <v>0</v>
      </c>
      <c r="X21" s="79" t="n">
        <f aca="false">SUM(X7:X20)</f>
        <v>0</v>
      </c>
      <c r="Y21" s="79" t="n">
        <f aca="false">SUM(Y7:Y20)</f>
        <v>901.327833333333</v>
      </c>
      <c r="Z21" s="79" t="n">
        <f aca="false">SUM(Z7:Z20)</f>
        <v>6142.23190653772</v>
      </c>
      <c r="AA21" s="79" t="n">
        <f aca="false">SUM(AA7:AA20)</f>
        <v>7370.67828784526</v>
      </c>
      <c r="AB21" s="79" t="n">
        <f aca="false">SUM(AB7:AB20)</f>
        <v>8605.72921958994</v>
      </c>
      <c r="AC21" s="79" t="n">
        <f aca="false">SUM(AC7:AC20)</f>
        <v>13889.3695692998</v>
      </c>
      <c r="AD21" s="79" t="n">
        <f aca="false">SUM(AD7:AD20)</f>
        <v>9203.08629820438</v>
      </c>
      <c r="AE21" s="79" t="n">
        <f aca="false">SUM(AE7:AE20)</f>
        <v>10886.8540393119</v>
      </c>
      <c r="AF21" s="79" t="n">
        <f aca="false">SUM(AF7:AF20)</f>
        <v>12579.6742951566</v>
      </c>
      <c r="AG21" s="79" t="n">
        <f aca="false">SUM(AG7:AG20)</f>
        <v>23069.8940848665</v>
      </c>
      <c r="AI21" s="76" t="s">
        <v>100</v>
      </c>
      <c r="AJ21" s="76"/>
      <c r="AK21" s="80" t="n">
        <f aca="false">SUM(AK7:AK20)</f>
        <v>11892.9721824066</v>
      </c>
      <c r="AL21" s="80" t="n">
        <f aca="false">SUM(AL7:AL20)</f>
        <v>14069.6421089395</v>
      </c>
      <c r="AM21" s="80" t="n">
        <f aca="false">SUM(AM7:AM20)</f>
        <v>16251.4375693165</v>
      </c>
      <c r="AN21" s="80" t="n">
        <f aca="false">SUM(AN7:AN20)</f>
        <v>29790.8121138317</v>
      </c>
      <c r="AO21" s="80" t="n">
        <f aca="false">SUM(AO7:AO20)</f>
        <v>21773.9934897585</v>
      </c>
      <c r="AP21" s="80" t="n">
        <f aca="false">SUM(AP7:AP20)</f>
        <v>57404.1646548179</v>
      </c>
      <c r="AQ21" s="80" t="n">
        <f aca="false">SUM(AQ7:AQ20)</f>
        <v>79178.1581445764</v>
      </c>
    </row>
    <row r="22" customFormat="false" ht="18" hidden="false" customHeight="true" outlineLevel="0" collapsed="false">
      <c r="G22" s="18" t="n">
        <f aca="false">G21+'Base Pelotas'!G16</f>
        <v>34476.3905</v>
      </c>
      <c r="H22" s="81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56"/>
      <c r="AE22" s="56"/>
      <c r="AF22" s="56"/>
      <c r="AG22" s="56"/>
    </row>
    <row r="23" customFormat="false" ht="39.75" hidden="false" customHeight="true" outlineLevel="0" collapsed="false">
      <c r="B23" s="47" t="s">
        <v>30</v>
      </c>
      <c r="C23" s="83" t="s">
        <v>101</v>
      </c>
      <c r="D23" s="83" t="s">
        <v>102</v>
      </c>
      <c r="E23" s="83" t="s">
        <v>103</v>
      </c>
      <c r="R23" s="84"/>
      <c r="Z23" s="84"/>
      <c r="AA23" s="84"/>
      <c r="AB23" s="84"/>
      <c r="AC23" s="84"/>
    </row>
    <row r="24" customFormat="false" ht="18" hidden="false" customHeight="true" outlineLevel="0" collapsed="false">
      <c r="B24" s="47"/>
      <c r="C24" s="26" t="n">
        <f aca="false">'Comp. Oficial de Manutenção'!D11</f>
        <v>26.519286</v>
      </c>
      <c r="D24" s="26" t="n">
        <v>22.44</v>
      </c>
      <c r="E24" s="26" t="n">
        <v>32.96</v>
      </c>
    </row>
    <row r="25" customFormat="false" ht="28.5" hidden="false" customHeight="true" outlineLevel="0" collapsed="false">
      <c r="B25" s="51" t="str">
        <f aca="false">'Equipe Técnica'!B9</f>
        <v>* Tabela SINAPI Janeiro/2025 (Desonerado)</v>
      </c>
    </row>
    <row r="26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9" activeCellId="0" sqref="R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3" min="4" style="85" width="9.62"/>
    <col collapsed="false" customWidth="true" hidden="false" outlineLevel="0" max="15" min="14" style="86" width="9.62"/>
    <col collapsed="false" customWidth="true" hidden="false" outlineLevel="0" max="17" min="16" style="85" width="9.62"/>
    <col collapsed="false" customWidth="true" hidden="false" outlineLevel="0" max="18" min="18" style="85" width="11.5"/>
    <col collapsed="false" customWidth="true" hidden="false" outlineLevel="0" max="19" min="19" style="85" width="15.26"/>
    <col collapsed="false" customWidth="false" hidden="false" outlineLevel="0" max="260" min="20" style="85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"&amp;Resumo!B5</f>
        <v>DESLOCAMENTO BASE PORTO ALEGRE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customFormat="false" ht="37.5" hidden="false" customHeight="true" outlineLevel="0" collapsed="false">
      <c r="B4" s="23" t="s">
        <v>104</v>
      </c>
      <c r="C4" s="23" t="str">
        <f aca="false">"Rota (saída e retorno "&amp;Resumo!B5&amp;")"</f>
        <v>Rota (saída e retorno PORTO ALEGRE)</v>
      </c>
      <c r="D4" s="23" t="s">
        <v>105</v>
      </c>
      <c r="E4" s="23" t="s">
        <v>106</v>
      </c>
      <c r="F4" s="23" t="s">
        <v>107</v>
      </c>
      <c r="G4" s="23" t="s">
        <v>108</v>
      </c>
      <c r="H4" s="23" t="s">
        <v>109</v>
      </c>
      <c r="I4" s="23" t="s">
        <v>110</v>
      </c>
      <c r="J4" s="23" t="s">
        <v>111</v>
      </c>
      <c r="K4" s="23" t="s">
        <v>112</v>
      </c>
      <c r="L4" s="23" t="s">
        <v>113</v>
      </c>
      <c r="M4" s="88" t="s">
        <v>114</v>
      </c>
      <c r="N4" s="23" t="s">
        <v>115</v>
      </c>
      <c r="O4" s="23" t="s">
        <v>116</v>
      </c>
      <c r="P4" s="23" t="s">
        <v>117</v>
      </c>
      <c r="Q4" s="23" t="s">
        <v>67</v>
      </c>
      <c r="R4" s="34" t="s">
        <v>118</v>
      </c>
      <c r="S4" s="34" t="s">
        <v>119</v>
      </c>
    </row>
    <row r="5" customFormat="false" ht="15.75" hidden="false" customHeight="true" outlineLevel="0" collapsed="false">
      <c r="B5" s="89" t="n">
        <v>1</v>
      </c>
      <c r="C5" s="90" t="s">
        <v>98</v>
      </c>
      <c r="D5" s="91" t="n">
        <v>2</v>
      </c>
      <c r="E5" s="91" t="n">
        <v>2</v>
      </c>
      <c r="F5" s="91" t="n">
        <v>0</v>
      </c>
      <c r="G5" s="92" t="n">
        <f aca="false">SUM(D5:F6)</f>
        <v>4</v>
      </c>
      <c r="H5" s="93" t="n">
        <v>2</v>
      </c>
      <c r="I5" s="93" t="n">
        <v>2</v>
      </c>
      <c r="J5" s="93" t="n">
        <v>0</v>
      </c>
      <c r="K5" s="94" t="n">
        <f aca="false">SUM(H5:J6)</f>
        <v>4</v>
      </c>
      <c r="L5" s="95" t="n">
        <f aca="false">K5/60</f>
        <v>0.0666666666666667</v>
      </c>
      <c r="M5" s="96" t="n">
        <v>0</v>
      </c>
      <c r="N5" s="94" t="n">
        <v>2</v>
      </c>
      <c r="O5" s="97" t="n">
        <f aca="false">L5/N5</f>
        <v>0.0333333333333333</v>
      </c>
      <c r="P5" s="98" t="n">
        <v>0</v>
      </c>
      <c r="Q5" s="98" t="n">
        <v>0</v>
      </c>
      <c r="R5" s="99" t="str">
        <f aca="false">INDEX('Base Porto Alegre'!$K$7:$K$20,MATCH('Desl. Base Porto Alegre'!C5,'Base Porto Alegre'!$B$7:$B$20,0))</f>
        <v>SIM</v>
      </c>
      <c r="S5" s="99" t="n">
        <v>1</v>
      </c>
    </row>
    <row r="6" customFormat="false" ht="15.75" hidden="false" customHeight="true" outlineLevel="0" collapsed="false">
      <c r="B6" s="89"/>
      <c r="C6" s="90" t="s">
        <v>99</v>
      </c>
      <c r="D6" s="91"/>
      <c r="E6" s="91"/>
      <c r="F6" s="91"/>
      <c r="G6" s="92"/>
      <c r="H6" s="93"/>
      <c r="I6" s="93"/>
      <c r="J6" s="93"/>
      <c r="K6" s="94"/>
      <c r="L6" s="95"/>
      <c r="M6" s="96"/>
      <c r="N6" s="94"/>
      <c r="O6" s="97" t="n">
        <f aca="false">O5</f>
        <v>0.0333333333333333</v>
      </c>
      <c r="P6" s="98" t="n">
        <v>0</v>
      </c>
      <c r="Q6" s="98" t="n">
        <v>0</v>
      </c>
      <c r="R6" s="99" t="str">
        <f aca="false">INDEX('Base Porto Alegre'!$K$7:$K$20,MATCH('Desl. Base Porto Alegre'!C6,'Base Porto Alegre'!$B$7:$B$20,0))</f>
        <v>SIM</v>
      </c>
      <c r="S6" s="99" t="n">
        <v>1</v>
      </c>
    </row>
    <row r="7" customFormat="false" ht="15.75" hidden="false" customHeight="true" outlineLevel="0" collapsed="false">
      <c r="B7" s="89" t="n">
        <v>2</v>
      </c>
      <c r="C7" s="90" t="s">
        <v>93</v>
      </c>
      <c r="D7" s="91" t="n">
        <v>0.45</v>
      </c>
      <c r="E7" s="91" t="n">
        <v>3.6</v>
      </c>
      <c r="F7" s="91" t="n">
        <v>4.5</v>
      </c>
      <c r="G7" s="92" t="n">
        <f aca="false">SUM(D7:F8)</f>
        <v>8.55</v>
      </c>
      <c r="H7" s="93" t="n">
        <v>2</v>
      </c>
      <c r="I7" s="93" t="n">
        <v>11</v>
      </c>
      <c r="J7" s="93" t="n">
        <v>9</v>
      </c>
      <c r="K7" s="94" t="n">
        <f aca="false">SUM(H7:J8)</f>
        <v>22</v>
      </c>
      <c r="L7" s="95" t="n">
        <f aca="false">K7/60</f>
        <v>0.366666666666667</v>
      </c>
      <c r="M7" s="96" t="n">
        <v>0</v>
      </c>
      <c r="N7" s="94" t="n">
        <v>2</v>
      </c>
      <c r="O7" s="97" t="n">
        <f aca="false">L7/N7</f>
        <v>0.183333333333333</v>
      </c>
      <c r="P7" s="98" t="n">
        <v>0</v>
      </c>
      <c r="Q7" s="98" t="n">
        <v>0</v>
      </c>
      <c r="R7" s="99" t="str">
        <f aca="false">INDEX('Base Porto Alegre'!$K$7:$K$20,MATCH('Desl. Base Porto Alegre'!C7,'Base Porto Alegre'!$B$7:$B$20,0))</f>
        <v>SIM</v>
      </c>
      <c r="S7" s="99" t="n">
        <v>1</v>
      </c>
    </row>
    <row r="8" customFormat="false" ht="15.75" hidden="false" customHeight="true" outlineLevel="0" collapsed="false">
      <c r="B8" s="89"/>
      <c r="C8" s="90" t="s">
        <v>95</v>
      </c>
      <c r="D8" s="91"/>
      <c r="E8" s="91"/>
      <c r="F8" s="91"/>
      <c r="G8" s="92"/>
      <c r="H8" s="93"/>
      <c r="I8" s="93"/>
      <c r="J8" s="93"/>
      <c r="K8" s="94"/>
      <c r="L8" s="95"/>
      <c r="M8" s="96"/>
      <c r="N8" s="94"/>
      <c r="O8" s="97" t="n">
        <f aca="false">O7</f>
        <v>0.183333333333333</v>
      </c>
      <c r="P8" s="98" t="n">
        <v>0</v>
      </c>
      <c r="Q8" s="98" t="n">
        <v>0</v>
      </c>
      <c r="R8" s="99" t="str">
        <f aca="false">INDEX('Base Porto Alegre'!$K$7:$K$20,MATCH('Desl. Base Porto Alegre'!C8,'Base Porto Alegre'!$B$7:$B$20,0))</f>
        <v>SIM</v>
      </c>
      <c r="S8" s="99" t="n">
        <v>1</v>
      </c>
    </row>
    <row r="9" customFormat="false" ht="15.75" hidden="false" customHeight="true" outlineLevel="0" collapsed="false">
      <c r="B9" s="89" t="n">
        <v>3</v>
      </c>
      <c r="C9" s="90" t="s">
        <v>96</v>
      </c>
      <c r="D9" s="91" t="n">
        <v>11.5</v>
      </c>
      <c r="E9" s="91" t="n">
        <f aca="false">25.1-11.5</f>
        <v>13.6</v>
      </c>
      <c r="F9" s="91" t="n">
        <v>6.4</v>
      </c>
      <c r="G9" s="92" t="n">
        <f aca="false">SUM(D9:F10)</f>
        <v>31.5</v>
      </c>
      <c r="H9" s="93" t="n">
        <v>20</v>
      </c>
      <c r="I9" s="93" t="n">
        <v>30</v>
      </c>
      <c r="J9" s="93" t="n">
        <v>14</v>
      </c>
      <c r="K9" s="94" t="n">
        <f aca="false">SUM(H9:J10)</f>
        <v>64</v>
      </c>
      <c r="L9" s="95" t="n">
        <f aca="false">K9/60</f>
        <v>1.06666666666667</v>
      </c>
      <c r="M9" s="96" t="n">
        <v>0</v>
      </c>
      <c r="N9" s="94" t="n">
        <v>2</v>
      </c>
      <c r="O9" s="97" t="n">
        <f aca="false">L9/N9</f>
        <v>0.533333333333333</v>
      </c>
      <c r="P9" s="98" t="n">
        <v>0</v>
      </c>
      <c r="Q9" s="98" t="n">
        <v>0</v>
      </c>
      <c r="R9" s="99" t="str">
        <f aca="false">INDEX('Base Porto Alegre'!$K$7:$K$20,MATCH('Desl. Base Porto Alegre'!C9,'Base Porto Alegre'!$B$7:$B$20,0))</f>
        <v>SIM</v>
      </c>
      <c r="S9" s="99" t="n">
        <v>1</v>
      </c>
    </row>
    <row r="10" customFormat="false" ht="15.75" hidden="false" customHeight="true" outlineLevel="0" collapsed="false">
      <c r="B10" s="89"/>
      <c r="C10" s="90" t="s">
        <v>97</v>
      </c>
      <c r="D10" s="91"/>
      <c r="E10" s="91"/>
      <c r="F10" s="91"/>
      <c r="G10" s="92"/>
      <c r="H10" s="93"/>
      <c r="I10" s="93"/>
      <c r="J10" s="93"/>
      <c r="K10" s="94"/>
      <c r="L10" s="95"/>
      <c r="M10" s="96" t="n">
        <v>0</v>
      </c>
      <c r="N10" s="94"/>
      <c r="O10" s="97" t="n">
        <f aca="false">O9</f>
        <v>0.533333333333333</v>
      </c>
      <c r="P10" s="98" t="n">
        <v>0</v>
      </c>
      <c r="Q10" s="98" t="n">
        <v>0</v>
      </c>
      <c r="R10" s="99" t="str">
        <f aca="false">INDEX('Base Porto Alegre'!$K$7:$K$20,MATCH('Desl. Base Porto Alegre'!C10,'Base Porto Alegre'!$B$7:$B$20,0))</f>
        <v>SIM</v>
      </c>
      <c r="S10" s="99" t="n">
        <v>1</v>
      </c>
    </row>
    <row r="11" customFormat="false" ht="15.75" hidden="false" customHeight="true" outlineLevel="0" collapsed="false">
      <c r="B11" s="89" t="n">
        <v>4</v>
      </c>
      <c r="C11" s="90" t="s">
        <v>87</v>
      </c>
      <c r="D11" s="91" t="n">
        <v>13</v>
      </c>
      <c r="E11" s="91" t="n">
        <v>5.5</v>
      </c>
      <c r="F11" s="91" t="n">
        <v>16.6</v>
      </c>
      <c r="G11" s="92" t="n">
        <f aca="false">SUM(D11:F12)</f>
        <v>35.1</v>
      </c>
      <c r="H11" s="93" t="n">
        <v>16</v>
      </c>
      <c r="I11" s="93" t="n">
        <v>11</v>
      </c>
      <c r="J11" s="93" t="n">
        <v>20</v>
      </c>
      <c r="K11" s="94" t="n">
        <f aca="false">SUM(H11:J12)</f>
        <v>47</v>
      </c>
      <c r="L11" s="95" t="n">
        <f aca="false">K11/60</f>
        <v>0.783333333333333</v>
      </c>
      <c r="M11" s="96" t="n">
        <v>0</v>
      </c>
      <c r="N11" s="94" t="n">
        <v>2</v>
      </c>
      <c r="O11" s="97" t="n">
        <f aca="false">L11/N11</f>
        <v>0.391666666666667</v>
      </c>
      <c r="P11" s="98" t="n">
        <v>0</v>
      </c>
      <c r="Q11" s="98" t="n">
        <v>0</v>
      </c>
      <c r="R11" s="99" t="str">
        <f aca="false">INDEX('Base Porto Alegre'!$K$7:$K$20,MATCH('Desl. Base Porto Alegre'!C11,'Base Porto Alegre'!$B$7:$B$20,0))</f>
        <v>NÃO</v>
      </c>
      <c r="S11" s="99" t="n">
        <v>1</v>
      </c>
    </row>
    <row r="12" customFormat="false" ht="15.75" hidden="false" customHeight="true" outlineLevel="0" collapsed="false">
      <c r="B12" s="89"/>
      <c r="C12" s="90" t="s">
        <v>90</v>
      </c>
      <c r="D12" s="91"/>
      <c r="E12" s="91"/>
      <c r="F12" s="91"/>
      <c r="G12" s="92"/>
      <c r="H12" s="93"/>
      <c r="I12" s="93"/>
      <c r="J12" s="93"/>
      <c r="K12" s="94"/>
      <c r="L12" s="95"/>
      <c r="M12" s="96"/>
      <c r="N12" s="94"/>
      <c r="O12" s="97" t="n">
        <f aca="false">O11</f>
        <v>0.391666666666667</v>
      </c>
      <c r="P12" s="98" t="n">
        <v>0</v>
      </c>
      <c r="Q12" s="98" t="n">
        <v>0</v>
      </c>
      <c r="R12" s="99" t="str">
        <f aca="false">INDEX('Base Porto Alegre'!$K$7:$K$20,MATCH('Desl. Base Porto Alegre'!C12,'Base Porto Alegre'!$B$7:$B$20,0))</f>
        <v>SIM</v>
      </c>
      <c r="S12" s="99" t="n">
        <v>1</v>
      </c>
    </row>
    <row r="13" customFormat="false" ht="15.75" hidden="false" customHeight="true" outlineLevel="0" collapsed="false">
      <c r="B13" s="89" t="n">
        <v>5</v>
      </c>
      <c r="C13" s="90" t="s">
        <v>81</v>
      </c>
      <c r="D13" s="91" t="n">
        <v>27.3</v>
      </c>
      <c r="E13" s="91" t="n">
        <v>2.2</v>
      </c>
      <c r="F13" s="91" t="n">
        <v>32.5</v>
      </c>
      <c r="G13" s="92" t="n">
        <f aca="false">SUM(D13:F14)</f>
        <v>62</v>
      </c>
      <c r="H13" s="93" t="n">
        <v>27</v>
      </c>
      <c r="I13" s="93" t="n">
        <v>7</v>
      </c>
      <c r="J13" s="93" t="n">
        <v>28</v>
      </c>
      <c r="K13" s="94" t="n">
        <f aca="false">SUM(H13:J14)</f>
        <v>62</v>
      </c>
      <c r="L13" s="95" t="n">
        <f aca="false">K13/60</f>
        <v>1.03333333333333</v>
      </c>
      <c r="M13" s="96" t="n">
        <v>0</v>
      </c>
      <c r="N13" s="94" t="n">
        <v>2</v>
      </c>
      <c r="O13" s="97" t="n">
        <f aca="false">L13/N13</f>
        <v>0.516666666666667</v>
      </c>
      <c r="P13" s="98" t="n">
        <v>0</v>
      </c>
      <c r="Q13" s="98" t="n">
        <v>0</v>
      </c>
      <c r="R13" s="99" t="str">
        <f aca="false">INDEX('Base Porto Alegre'!$K$7:$K$20,MATCH('Desl. Base Porto Alegre'!C13,'Base Porto Alegre'!$B$7:$B$20,0))</f>
        <v>SIM</v>
      </c>
      <c r="S13" s="99" t="n">
        <v>1</v>
      </c>
    </row>
    <row r="14" customFormat="false" ht="15.75" hidden="false" customHeight="true" outlineLevel="0" collapsed="false">
      <c r="B14" s="89"/>
      <c r="C14" s="90" t="s">
        <v>89</v>
      </c>
      <c r="D14" s="91"/>
      <c r="E14" s="91"/>
      <c r="F14" s="91"/>
      <c r="G14" s="92"/>
      <c r="H14" s="93"/>
      <c r="I14" s="93"/>
      <c r="J14" s="93"/>
      <c r="K14" s="94"/>
      <c r="L14" s="95"/>
      <c r="M14" s="96"/>
      <c r="N14" s="94"/>
      <c r="O14" s="97" t="n">
        <f aca="false">O13</f>
        <v>0.516666666666667</v>
      </c>
      <c r="P14" s="98" t="n">
        <v>0</v>
      </c>
      <c r="Q14" s="98" t="n">
        <v>0</v>
      </c>
      <c r="R14" s="99" t="str">
        <f aca="false">INDEX('Base Porto Alegre'!$K$7:$K$20,MATCH('Desl. Base Porto Alegre'!C14,'Base Porto Alegre'!$B$7:$B$20,0))</f>
        <v>NÃO</v>
      </c>
      <c r="S14" s="99" t="n">
        <v>1</v>
      </c>
    </row>
    <row r="15" customFormat="false" ht="15.75" hidden="false" customHeight="true" outlineLevel="0" collapsed="false">
      <c r="B15" s="89" t="n">
        <v>6</v>
      </c>
      <c r="C15" s="90" t="s">
        <v>83</v>
      </c>
      <c r="D15" s="91" t="n">
        <v>22.5</v>
      </c>
      <c r="E15" s="91" t="n">
        <v>9.5</v>
      </c>
      <c r="F15" s="91" t="n">
        <v>30.6</v>
      </c>
      <c r="G15" s="92" t="n">
        <f aca="false">SUM(D15:F16)</f>
        <v>62.6</v>
      </c>
      <c r="H15" s="93" t="n">
        <v>29</v>
      </c>
      <c r="I15" s="93" t="n">
        <v>21</v>
      </c>
      <c r="J15" s="93" t="n">
        <v>34</v>
      </c>
      <c r="K15" s="94" t="n">
        <f aca="false">SUM(H15:J16)</f>
        <v>84</v>
      </c>
      <c r="L15" s="95" t="n">
        <f aca="false">K15/60</f>
        <v>1.4</v>
      </c>
      <c r="M15" s="96" t="n">
        <v>0</v>
      </c>
      <c r="N15" s="94" t="n">
        <v>2</v>
      </c>
      <c r="O15" s="97" t="n">
        <f aca="false">L15/N15</f>
        <v>0.7</v>
      </c>
      <c r="P15" s="98" t="n">
        <v>0</v>
      </c>
      <c r="Q15" s="98" t="n">
        <v>0</v>
      </c>
      <c r="R15" s="99" t="str">
        <f aca="false">INDEX('Base Porto Alegre'!$K$7:$K$20,MATCH('Desl. Base Porto Alegre'!C15,'Base Porto Alegre'!$B$7:$B$20,0))</f>
        <v>NÃO</v>
      </c>
      <c r="S15" s="99" t="n">
        <v>1</v>
      </c>
    </row>
    <row r="16" customFormat="false" ht="15.75" hidden="false" customHeight="true" outlineLevel="0" collapsed="false">
      <c r="B16" s="89"/>
      <c r="C16" s="90" t="s">
        <v>85</v>
      </c>
      <c r="D16" s="91"/>
      <c r="E16" s="91"/>
      <c r="F16" s="91"/>
      <c r="G16" s="92"/>
      <c r="H16" s="93"/>
      <c r="I16" s="93"/>
      <c r="J16" s="93"/>
      <c r="K16" s="94"/>
      <c r="L16" s="95"/>
      <c r="M16" s="96"/>
      <c r="N16" s="94"/>
      <c r="O16" s="97" t="n">
        <f aca="false">O15</f>
        <v>0.7</v>
      </c>
      <c r="P16" s="98" t="n">
        <v>0</v>
      </c>
      <c r="Q16" s="98" t="n">
        <v>0</v>
      </c>
      <c r="R16" s="99" t="str">
        <f aca="false">INDEX('Base Porto Alegre'!$K$7:$K$20,MATCH('Desl. Base Porto Alegre'!C16,'Base Porto Alegre'!$B$7:$B$20,0))</f>
        <v>SIM</v>
      </c>
      <c r="S16" s="99" t="n">
        <v>1</v>
      </c>
    </row>
    <row r="17" customFormat="false" ht="15.75" hidden="false" customHeight="true" outlineLevel="0" collapsed="false">
      <c r="B17" s="89" t="n">
        <v>7</v>
      </c>
      <c r="C17" s="90" t="s">
        <v>86</v>
      </c>
      <c r="D17" s="91" t="n">
        <v>30.8</v>
      </c>
      <c r="E17" s="91" t="n">
        <f aca="false">75.3-D17</f>
        <v>44.5</v>
      </c>
      <c r="F17" s="91" t="n">
        <v>24.3</v>
      </c>
      <c r="G17" s="92" t="n">
        <f aca="false">SUM(D17:F18)</f>
        <v>99.6</v>
      </c>
      <c r="H17" s="93" t="n">
        <v>29</v>
      </c>
      <c r="I17" s="93" t="n">
        <f aca="false">83-H17</f>
        <v>54</v>
      </c>
      <c r="J17" s="93" t="n">
        <v>29</v>
      </c>
      <c r="K17" s="94" t="n">
        <f aca="false">SUM(H17:J18)</f>
        <v>112</v>
      </c>
      <c r="L17" s="95" t="n">
        <f aca="false">K17/60</f>
        <v>1.86666666666667</v>
      </c>
      <c r="M17" s="96" t="n">
        <v>0</v>
      </c>
      <c r="N17" s="94" t="n">
        <v>2</v>
      </c>
      <c r="O17" s="97" t="n">
        <f aca="false">L17/N17</f>
        <v>0.933333333333333</v>
      </c>
      <c r="P17" s="98" t="n">
        <v>0</v>
      </c>
      <c r="Q17" s="98" t="n">
        <v>0</v>
      </c>
      <c r="R17" s="99" t="str">
        <f aca="false">INDEX('Base Porto Alegre'!$K$7:$K$20,MATCH('Desl. Base Porto Alegre'!C17,'Base Porto Alegre'!$B$7:$B$20,0))</f>
        <v>SIM</v>
      </c>
      <c r="S17" s="99" t="n">
        <v>1</v>
      </c>
    </row>
    <row r="18" customFormat="false" ht="15.75" hidden="false" customHeight="true" outlineLevel="0" collapsed="false">
      <c r="B18" s="89"/>
      <c r="C18" s="90" t="s">
        <v>92</v>
      </c>
      <c r="D18" s="91"/>
      <c r="E18" s="91"/>
      <c r="F18" s="91"/>
      <c r="G18" s="92"/>
      <c r="H18" s="93"/>
      <c r="I18" s="93"/>
      <c r="J18" s="93"/>
      <c r="K18" s="94"/>
      <c r="L18" s="95"/>
      <c r="M18" s="96"/>
      <c r="N18" s="94"/>
      <c r="O18" s="97" t="n">
        <f aca="false">O17</f>
        <v>0.933333333333333</v>
      </c>
      <c r="P18" s="98" t="n">
        <v>0</v>
      </c>
      <c r="Q18" s="98" t="n">
        <v>0</v>
      </c>
      <c r="R18" s="99" t="str">
        <f aca="false">INDEX('Base Porto Alegre'!$K$7:$K$20,MATCH('Desl. Base Porto Alegre'!C18,'Base Porto Alegre'!$B$7:$B$20,0))</f>
        <v>NÃO</v>
      </c>
      <c r="S18" s="99" t="n">
        <v>1</v>
      </c>
    </row>
    <row r="19" customFormat="false" ht="19.5" hidden="false" customHeight="true" outlineLevel="0" collapsed="false">
      <c r="B19" s="100" t="s">
        <v>100</v>
      </c>
      <c r="C19" s="100"/>
      <c r="D19" s="100"/>
      <c r="E19" s="100"/>
      <c r="F19" s="100"/>
      <c r="G19" s="101" t="n">
        <f aca="false">SUM(G5:G18)</f>
        <v>303.35</v>
      </c>
      <c r="H19" s="102" t="s">
        <v>100</v>
      </c>
      <c r="I19" s="102"/>
      <c r="J19" s="102"/>
      <c r="K19" s="103" t="n">
        <f aca="false">SUM(K5:K18)</f>
        <v>395</v>
      </c>
      <c r="L19" s="104" t="n">
        <f aca="false">SUM(L5:L18)</f>
        <v>6.58333333333333</v>
      </c>
      <c r="M19" s="105" t="n">
        <f aca="false">SUM(M5:M18)</f>
        <v>0</v>
      </c>
      <c r="N19" s="106" t="n">
        <f aca="false">SUM(N5:N18)</f>
        <v>14</v>
      </c>
      <c r="O19" s="104"/>
      <c r="P19" s="105"/>
      <c r="Q19" s="105" t="n">
        <f aca="false">SUM(Q5:Q18)</f>
        <v>0</v>
      </c>
      <c r="R19" s="105"/>
      <c r="S19" s="105"/>
    </row>
    <row r="20" customFormat="false" ht="16.5" hidden="false" customHeight="true" outlineLevel="0" collapsed="false">
      <c r="B20" s="107"/>
      <c r="C20" s="107"/>
      <c r="D20" s="107"/>
      <c r="E20" s="107"/>
      <c r="F20" s="107"/>
    </row>
    <row r="21" customFormat="false" ht="18.75" hidden="false" customHeight="true" outlineLevel="0" collapsed="false">
      <c r="B21" s="108" t="s">
        <v>120</v>
      </c>
      <c r="C21" s="108"/>
      <c r="D21" s="108"/>
      <c r="E21" s="108"/>
      <c r="F21" s="107"/>
      <c r="G21" s="107"/>
      <c r="H21" s="107"/>
      <c r="I21" s="107"/>
      <c r="J21" s="107"/>
      <c r="K21" s="107"/>
      <c r="L21" s="107"/>
      <c r="M21" s="107"/>
      <c r="N21" s="109"/>
      <c r="O21" s="109"/>
    </row>
    <row r="22" customFormat="false" ht="18.75" hidden="false" customHeight="true" outlineLevel="0" collapsed="false">
      <c r="B22" s="110" t="s">
        <v>121</v>
      </c>
      <c r="C22" s="110" t="s">
        <v>122</v>
      </c>
      <c r="D22" s="110" t="s">
        <v>123</v>
      </c>
      <c r="E22" s="110" t="s">
        <v>124</v>
      </c>
      <c r="F22" s="107"/>
      <c r="G22" s="107"/>
      <c r="H22" s="109"/>
      <c r="I22" s="109"/>
      <c r="J22" s="107"/>
      <c r="K22" s="107"/>
      <c r="L22" s="107"/>
      <c r="M22" s="107"/>
      <c r="N22" s="109"/>
      <c r="O22" s="109"/>
    </row>
    <row r="23" customFormat="false" ht="18.75" hidden="false" customHeight="true" outlineLevel="0" collapsed="false">
      <c r="B23" s="50" t="s">
        <v>125</v>
      </c>
      <c r="C23" s="111" t="s">
        <v>126</v>
      </c>
      <c r="D23" s="50" t="s">
        <v>127</v>
      </c>
      <c r="E23" s="112" t="n">
        <f aca="false">'Comp. Veículo'!D11</f>
        <v>52.49</v>
      </c>
      <c r="F23" s="107"/>
      <c r="G23" s="107"/>
      <c r="H23" s="113"/>
      <c r="I23" s="113"/>
      <c r="J23" s="107"/>
      <c r="K23" s="107"/>
      <c r="L23" s="107"/>
      <c r="M23" s="107"/>
      <c r="N23" s="109"/>
      <c r="O23" s="109"/>
    </row>
    <row r="24" customFormat="false" ht="18.75" hidden="false" customHeight="true" outlineLevel="0" collapsed="false">
      <c r="B24" s="114" t="s">
        <v>128</v>
      </c>
      <c r="C24" s="115" t="s">
        <v>126</v>
      </c>
      <c r="D24" s="114" t="s">
        <v>129</v>
      </c>
      <c r="E24" s="116" t="n">
        <f aca="false">'Comp. Veículo'!D27</f>
        <v>6.56</v>
      </c>
      <c r="F24" s="107"/>
      <c r="G24" s="107"/>
      <c r="H24" s="113"/>
      <c r="I24" s="113"/>
      <c r="J24" s="107"/>
      <c r="K24" s="107"/>
      <c r="L24" s="107"/>
      <c r="M24" s="107"/>
      <c r="N24" s="109"/>
      <c r="O24" s="109"/>
    </row>
    <row r="25" customFormat="false" ht="47.25" hidden="false" customHeight="true" outlineLevel="0" collapsed="false">
      <c r="B25" s="117" t="s">
        <v>130</v>
      </c>
      <c r="C25" s="117"/>
      <c r="D25" s="117"/>
      <c r="E25" s="117"/>
      <c r="F25" s="118"/>
      <c r="G25" s="118"/>
      <c r="H25" s="118"/>
      <c r="I25" s="118"/>
      <c r="J25" s="118"/>
      <c r="K25" s="118"/>
      <c r="L25" s="118"/>
      <c r="M25" s="107"/>
      <c r="N25" s="109"/>
      <c r="O25" s="109"/>
    </row>
    <row r="26" customFormat="false" ht="16.5" hidden="false" customHeight="true" outlineLevel="0" collapsed="false">
      <c r="B26" s="119"/>
      <c r="C26" s="119"/>
      <c r="D26" s="119"/>
      <c r="E26" s="119"/>
      <c r="F26" s="118"/>
      <c r="G26" s="118"/>
      <c r="H26" s="118"/>
      <c r="I26" s="118"/>
      <c r="J26" s="118"/>
      <c r="K26" s="118"/>
      <c r="L26" s="118"/>
      <c r="M26" s="107"/>
      <c r="N26" s="109"/>
      <c r="O26" s="109"/>
    </row>
    <row r="27" customFormat="false" ht="16.5" hidden="false" customHeight="true" outlineLevel="0" collapsed="false">
      <c r="B27" s="108" t="s">
        <v>131</v>
      </c>
      <c r="C27" s="108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9"/>
      <c r="O27" s="109"/>
    </row>
    <row r="28" customFormat="false" ht="16.5" hidden="false" customHeight="true" outlineLevel="0" collapsed="false">
      <c r="B28" s="50" t="s">
        <v>127</v>
      </c>
      <c r="C28" s="112" t="n">
        <f aca="false">E23*L19</f>
        <v>345.559166666667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9"/>
      <c r="O28" s="109"/>
    </row>
    <row r="29" customFormat="false" ht="16.5" hidden="false" customHeight="true" outlineLevel="0" collapsed="false">
      <c r="B29" s="50" t="s">
        <v>129</v>
      </c>
      <c r="C29" s="112" t="n">
        <f aca="false">E24*('Base Porto Alegre'!N21/12)</f>
        <v>555.768666666667</v>
      </c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9"/>
      <c r="O29" s="109"/>
    </row>
    <row r="30" customFormat="false" ht="16.5" hidden="false" customHeight="true" outlineLevel="0" collapsed="false">
      <c r="B30" s="120" t="s">
        <v>28</v>
      </c>
      <c r="C30" s="121" t="n">
        <f aca="false">C28+C29</f>
        <v>901.327833333334</v>
      </c>
      <c r="D30" s="107"/>
      <c r="E30" s="107"/>
      <c r="F30" s="107"/>
      <c r="G30" s="107"/>
      <c r="H30" s="107"/>
      <c r="I30" s="107"/>
      <c r="M30" s="107"/>
      <c r="N30" s="109"/>
      <c r="O30" s="109"/>
    </row>
    <row r="31" customFormat="false" ht="16.5" hidden="false" customHeight="true" outlineLevel="0" collapsed="false">
      <c r="B31" s="107"/>
      <c r="C31" s="122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9"/>
      <c r="O31" s="109"/>
    </row>
  </sheetData>
  <mergeCells count="90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B19:F19"/>
    <mergeCell ref="H19:J19"/>
    <mergeCell ref="B21:E21"/>
    <mergeCell ref="B25:E25"/>
    <mergeCell ref="B27:C27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BN65526"/>
  <sheetViews>
    <sheetView showFormulas="false" showGridLines="fals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AP6" activeCellId="0" sqref="AP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8" width="33.62"/>
    <col collapsed="false" customWidth="true" hidden="false" outlineLevel="0" max="15" min="3" style="18" width="12.62"/>
    <col collapsed="false" customWidth="true" hidden="false" outlineLevel="0" max="16" min="16" style="18" width="9.62"/>
    <col collapsed="false" customWidth="true" hidden="false" outlineLevel="0" max="17" min="17" style="18" width="33.62"/>
    <col collapsed="false" customWidth="true" hidden="false" outlineLevel="0" max="33" min="18" style="18" width="11.5"/>
    <col collapsed="false" customWidth="true" hidden="false" outlineLevel="0" max="34" min="34" style="18" width="11"/>
    <col collapsed="false" customWidth="true" hidden="false" outlineLevel="0" max="35" min="35" style="18" width="33.62"/>
    <col collapsed="false" customWidth="true" hidden="false" outlineLevel="0" max="40" min="36" style="18" width="10.75"/>
    <col collapsed="false" customWidth="true" hidden="false" outlineLevel="0" max="41" min="41" style="18" width="14.5"/>
    <col collapsed="false" customWidth="true" hidden="false" outlineLevel="0" max="42" min="42" style="18" width="12.5"/>
    <col collapsed="false" customWidth="true" hidden="false" outlineLevel="0" max="43" min="43" style="18" width="14.25"/>
    <col collapsed="false" customWidth="true" hidden="false" outlineLevel="0" max="44" min="44" style="18" width="2.62"/>
    <col collapsed="false" customWidth="true" hidden="false" outlineLevel="0" max="45" min="45" style="18" width="28.12"/>
    <col collapsed="false" customWidth="true" hidden="false" outlineLevel="0" max="46" min="46" style="18" width="12.76"/>
    <col collapsed="false" customWidth="true" hidden="false" outlineLevel="0" max="49" min="47" style="18" width="11.75"/>
    <col collapsed="false" customWidth="true" hidden="false" outlineLevel="0" max="66" min="50" style="18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PELOTAS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"&amp;Resumo!B6&amp;" – PLANILHA DE DISTRIBUIÇÃO DE CUSTOS POR UNIDADE"</f>
        <v>BASE PELOTAS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7" t="str">
        <f aca="false">"BASE "&amp;Resumo!B6&amp;" – PLANILHA RESUMO DE CUSTOS DA BASE"</f>
        <v>BASE PELOTAS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PELOTAS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N16+'Base Porto Alegre'!N21</f>
        <v>1344.2</v>
      </c>
      <c r="AD5" s="58" t="s">
        <v>62</v>
      </c>
      <c r="AE5" s="58" t="s">
        <v>63</v>
      </c>
      <c r="AF5" s="58" t="s">
        <v>64</v>
      </c>
      <c r="AG5" s="58" t="s">
        <v>65</v>
      </c>
      <c r="AH5" s="43"/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7" t="s">
        <v>62</v>
      </c>
      <c r="AA6" s="37" t="s">
        <v>63</v>
      </c>
      <c r="AB6" s="37" t="s">
        <v>64</v>
      </c>
      <c r="AC6" s="37" t="s">
        <v>65</v>
      </c>
      <c r="AD6" s="58"/>
      <c r="AE6" s="58"/>
      <c r="AF6" s="58"/>
      <c r="AG6" s="58"/>
      <c r="AH6" s="56"/>
      <c r="AI6" s="47"/>
      <c r="AJ6" s="58"/>
      <c r="AK6" s="58"/>
      <c r="AL6" s="58"/>
      <c r="AM6" s="58"/>
      <c r="AN6" s="58"/>
      <c r="AO6" s="58"/>
      <c r="AP6" s="58" t="n">
        <f aca="false">'Base Porto Alegre'!AP6</f>
        <v>2.63636363636364</v>
      </c>
      <c r="AQ6" s="58"/>
      <c r="AR6" s="63"/>
      <c r="AS6" s="58"/>
      <c r="AT6" s="37" t="s">
        <v>77</v>
      </c>
      <c r="AU6" s="37" t="s">
        <v>78</v>
      </c>
      <c r="AV6" s="37" t="s">
        <v>79</v>
      </c>
      <c r="AW6" s="37" t="s">
        <v>80</v>
      </c>
    </row>
    <row r="7" customFormat="false" ht="15" hidden="false" customHeight="true" outlineLevel="0" collapsed="false">
      <c r="B7" s="24" t="s">
        <v>132</v>
      </c>
      <c r="C7" s="65" t="n">
        <f aca="false">VLOOKUP($B7,Unidades!$D$5:$N$27,6,FALSE())</f>
        <v>1011.72</v>
      </c>
      <c r="D7" s="65" t="n">
        <f aca="false">VLOOKUP($B7,Unidades!$D$5:$N$27,7,FALSE())</f>
        <v>492.6</v>
      </c>
      <c r="E7" s="65" t="n">
        <f aca="false">VLOOKUP($B7,Unidades!$D$5:$N$27,8,FALSE())</f>
        <v>501.82</v>
      </c>
      <c r="F7" s="65" t="n">
        <f aca="false">VLOOKUP($B7,Unidades!$D$5:$N$27,9,FALSE())</f>
        <v>17.3</v>
      </c>
      <c r="G7" s="65" t="n">
        <f aca="false">D7+$E$6*E7+$F$6*F7</f>
        <v>669.967</v>
      </c>
      <c r="H7" s="66" t="n">
        <f aca="false">IF(G7&lt;750,1.5,IF(G7&lt;2000,2,IF(G7&lt;4000,3,12)))</f>
        <v>1.5</v>
      </c>
      <c r="I7" s="66" t="n">
        <f aca="false">$I$6*H7</f>
        <v>1.8</v>
      </c>
      <c r="J7" s="66" t="str">
        <f aca="false">VLOOKUP($B7,Unidades!$D$5:$N$27,10,FALSE())</f>
        <v>NÃO</v>
      </c>
      <c r="K7" s="66" t="str">
        <f aca="false">VLOOKUP($B7,Unidades!$D$5:$N$27,11,FALSE())</f>
        <v>SIM</v>
      </c>
      <c r="L7" s="66" t="n">
        <f aca="false">$L$6*H7+(IF(J7="SIM",$J$6,0))</f>
        <v>1.65</v>
      </c>
      <c r="M7" s="66" t="n">
        <f aca="false">$M$6*H7+(IF(J7="SIM",$J$6,0))+(IF(K7="SIM",$K$6,0))</f>
        <v>5.65</v>
      </c>
      <c r="N7" s="66" t="n">
        <f aca="false">H7*12+I7*4+L7*2+M7</f>
        <v>34.15</v>
      </c>
      <c r="O7" s="67" t="n">
        <f aca="false">IF(K7="não", N7*(C$19+D$19),N7*(C$19+D$19)+(M7*+E$19))</f>
        <v>1858.1836169</v>
      </c>
      <c r="P7" s="68"/>
      <c r="Q7" s="24" t="str">
        <f aca="false">B7</f>
        <v>APS CAMAQUÃ</v>
      </c>
      <c r="R7" s="26" t="n">
        <f aca="false">H7*($C$19+$D$19)</f>
        <v>73.438929</v>
      </c>
      <c r="S7" s="26" t="n">
        <f aca="false">I7*($C$19+$D$19)</f>
        <v>88.1267148</v>
      </c>
      <c r="T7" s="26" t="n">
        <f aca="false">L7*($C$19+$D$19)</f>
        <v>80.7828219</v>
      </c>
      <c r="U7" s="26" t="n">
        <f aca="false">IF(K7="não",M7*($C$19+$D$19),M7*(C$19+D$19+E$19))</f>
        <v>462.8439659</v>
      </c>
      <c r="V7" s="26" t="n">
        <f aca="false">VLOOKUP(Q7,'Desl. Base Pelotas'!$C$5:$S$13,13,FALSE())*($C$19+$D$19+$E$19*(VLOOKUP(Q7,'Desl. Base Pelotas'!$C$5:$S$13,17,FALSE())/12))</f>
        <v>141.760486894444</v>
      </c>
      <c r="W7" s="26" t="n">
        <f aca="false">VLOOKUP(Q7,'Desl. Base Pelotas'!$C$5:$S$13,15,FALSE())*(2+(VLOOKUP(Q7,'Desl. Base Pelotas'!$C$5:$S$13,17,FALSE())/12))</f>
        <v>290.416666666667</v>
      </c>
      <c r="X7" s="26" t="n">
        <f aca="false">VLOOKUP(Q7,'Desl. Base Pelotas'!$C$5:$Q$13,14,FALSE())</f>
        <v>39.2</v>
      </c>
      <c r="Y7" s="26" t="n">
        <f aca="false">VLOOKUP(Q7,'Desl. Base Pelotas'!$C$5:Q$13,13,FALSE())*'Desl. Base Pelotas'!$E$18+'Desl. Base Pelotas'!$E$19*N7/12</f>
        <v>162.57875</v>
      </c>
      <c r="Z7" s="26" t="n">
        <f aca="false">(H7/$AC$5)*'Equipe Técnica'!$C$13</f>
        <v>198.13651311412</v>
      </c>
      <c r="AA7" s="26" t="n">
        <f aca="false">(I7/$AC$5)*'Equipe Técnica'!$C$13</f>
        <v>237.763815736944</v>
      </c>
      <c r="AB7" s="26" t="n">
        <f aca="false">(L7/$AC$5)*'Equipe Técnica'!$C$13</f>
        <v>217.950164425532</v>
      </c>
      <c r="AC7" s="26" t="n">
        <f aca="false">(M7/$AC$5)*'Equipe Técnica'!$C$13</f>
        <v>746.314199396518</v>
      </c>
      <c r="AD7" s="26" t="n">
        <f aca="false">R7+(($V7+$W7+$X7+$Y7)*12/19)+$Z7</f>
        <v>671.968644363243</v>
      </c>
      <c r="AE7" s="26" t="n">
        <f aca="false">S7+(($V7+$W7+$X7+$Y7)*12/19)+$AA7</f>
        <v>726.283732786067</v>
      </c>
      <c r="AF7" s="26" t="n">
        <f aca="false">T7+(($V7+$W7+$X7+$Y7)*12/19)+$AB7</f>
        <v>699.126188574655</v>
      </c>
      <c r="AG7" s="26" t="n">
        <f aca="false">U7+(($V7+$W7+$X7+$Y7)*12/19)+$AC7</f>
        <v>1609.55136754564</v>
      </c>
      <c r="AH7" s="123"/>
      <c r="AI7" s="24" t="str">
        <f aca="false">B7</f>
        <v>APS CAMAQUÃ</v>
      </c>
      <c r="AJ7" s="69" t="n">
        <f aca="false">VLOOKUP(AI7,Unidades!D$5:H$27,5,)</f>
        <v>0.2707</v>
      </c>
      <c r="AK7" s="48" t="n">
        <f aca="false">AD7*(1+$AJ7)</f>
        <v>853.870556392373</v>
      </c>
      <c r="AL7" s="48" t="n">
        <f aca="false">AE7*(1+$AJ7)</f>
        <v>922.888739251255</v>
      </c>
      <c r="AM7" s="48" t="n">
        <f aca="false">AF7*(1+$AJ7)</f>
        <v>888.379647821814</v>
      </c>
      <c r="AN7" s="48" t="n">
        <f aca="false">AG7*(1+$AJ7)</f>
        <v>2045.25692274025</v>
      </c>
      <c r="AO7" s="48" t="n">
        <f aca="false">((AK7*12)+(AL7*4)+(AM7*2)+AN7)/12</f>
        <v>1480.00148767478</v>
      </c>
      <c r="AP7" s="48" t="n">
        <f aca="false">AO7*$AP$6</f>
        <v>3901.82210386988</v>
      </c>
      <c r="AQ7" s="48" t="n">
        <f aca="false">AO7+AP7</f>
        <v>5381.82359154466</v>
      </c>
      <c r="AR7" s="70"/>
      <c r="AS7" s="71" t="s">
        <v>82</v>
      </c>
      <c r="AT7" s="48" t="n">
        <f aca="false">AK16</f>
        <v>6607.89776062081</v>
      </c>
      <c r="AU7" s="48" t="n">
        <f aca="false">AL16</f>
        <v>7326.76881891456</v>
      </c>
      <c r="AV7" s="48" t="n">
        <f aca="false">AM16</f>
        <v>6967.33328976769</v>
      </c>
      <c r="AW7" s="48" t="n">
        <f aca="false">AN16</f>
        <v>11720.8157594128</v>
      </c>
    </row>
    <row r="8" customFormat="false" ht="15" hidden="false" customHeight="true" outlineLevel="0" collapsed="false">
      <c r="B8" s="24" t="s">
        <v>133</v>
      </c>
      <c r="C8" s="65" t="n">
        <f aca="false">VLOOKUP($B8,Unidades!$D$5:$N$27,6,FALSE())</f>
        <v>334.4</v>
      </c>
      <c r="D8" s="65" t="n">
        <f aca="false">VLOOKUP($B8,Unidades!$D$5:$N$27,7,FALSE())</f>
        <v>296</v>
      </c>
      <c r="E8" s="65" t="n">
        <f aca="false">VLOOKUP($B8,Unidades!$D$5:$N$27,8,FALSE())</f>
        <v>38.4</v>
      </c>
      <c r="F8" s="65" t="n">
        <f aca="false">VLOOKUP($B8,Unidades!$D$5:$N$27,9,FALSE())</f>
        <v>0</v>
      </c>
      <c r="G8" s="65" t="n">
        <f aca="false">D8+$E$6*E8+$F$6*F8</f>
        <v>309.44</v>
      </c>
      <c r="H8" s="66" t="n">
        <f aca="false">IF(G8&lt;750,1.5,IF(G8&lt;2000,2,IF(G8&lt;4000,3,12)))</f>
        <v>1.5</v>
      </c>
      <c r="I8" s="66" t="n">
        <f aca="false">$I$6*H8</f>
        <v>1.8</v>
      </c>
      <c r="J8" s="66" t="str">
        <f aca="false">VLOOKUP($B8,Unidades!$D$5:$N$27,10,FALSE())</f>
        <v>NÃO</v>
      </c>
      <c r="K8" s="66" t="str">
        <f aca="false">VLOOKUP($B8,Unidades!$D$5:$N$27,11,FALSE())</f>
        <v>NÃO</v>
      </c>
      <c r="L8" s="66" t="n">
        <f aca="false">$L$6*H8+(IF(J8="SIM",$J$6,0))</f>
        <v>1.65</v>
      </c>
      <c r="M8" s="66" t="n">
        <f aca="false">$M$6*H8+(IF(J8="SIM",$J$6,0))+(IF(K8="SIM",$K$6,0))</f>
        <v>1.65</v>
      </c>
      <c r="N8" s="66" t="n">
        <f aca="false">H8*12+I8*4+L8*2+M8</f>
        <v>30.15</v>
      </c>
      <c r="O8" s="67" t="n">
        <f aca="false">IF(K8="não", N8*(C$19+D$19),N8*(C$19+D$19)+(M8*+E$19))</f>
        <v>1476.1224729</v>
      </c>
      <c r="P8" s="68"/>
      <c r="Q8" s="24" t="str">
        <f aca="false">B8</f>
        <v>APS CAPÃO DO LEÃO</v>
      </c>
      <c r="R8" s="26" t="n">
        <f aca="false">H8*($C$19+$D$19)</f>
        <v>73.438929</v>
      </c>
      <c r="S8" s="26" t="n">
        <f aca="false">I8*($C$19+$D$19)</f>
        <v>88.1267148</v>
      </c>
      <c r="T8" s="26" t="n">
        <f aca="false">L8*($C$19+$D$19)</f>
        <v>80.7828219</v>
      </c>
      <c r="U8" s="26" t="n">
        <f aca="false">IF(K8="não",M8*($C$19+$D$19),M8*(C$19+D$19+E$19))</f>
        <v>80.7828219</v>
      </c>
      <c r="V8" s="26" t="n">
        <f aca="false">VLOOKUP(Q8,'Desl. Base Pelotas'!$C$5:$S$13,13,FALSE())*($C$19+$D$19+$E$19*(VLOOKUP(Q8,'Desl. Base Pelotas'!$C$5:$S$13,17,FALSE())/12))</f>
        <v>21.1132640055556</v>
      </c>
      <c r="W8" s="26" t="n">
        <f aca="false">VLOOKUP(Q8,'Desl. Base Pelotas'!$C$5:$S$13,15,FALSE())*(2+(VLOOKUP(Q8,'Desl. Base Pelotas'!$C$5:$S$13,17,FALSE())/12))</f>
        <v>0</v>
      </c>
      <c r="X8" s="26" t="n">
        <f aca="false">VLOOKUP(Q8,'Desl. Base Pelotas'!$C$5:$Q$13,14,FALSE())</f>
        <v>0</v>
      </c>
      <c r="Y8" s="26" t="n">
        <f aca="false">VLOOKUP(Q8,'Desl. Base Pelotas'!$C$5:Q$13,13,FALSE())*'Desl. Base Pelotas'!$E$18+'Desl. Base Pelotas'!$E$19*N8/12</f>
        <v>37.9154166666667</v>
      </c>
      <c r="Z8" s="26" t="n">
        <f aca="false">(H8/$AC$5)*'Equipe Técnica'!$C$13</f>
        <v>198.13651311412</v>
      </c>
      <c r="AA8" s="26" t="n">
        <f aca="false">(I8/$AC$5)*'Equipe Técnica'!$C$13</f>
        <v>237.763815736944</v>
      </c>
      <c r="AB8" s="26" t="n">
        <f aca="false">(L8/$AC$5)*'Equipe Técnica'!$C$13</f>
        <v>217.950164425532</v>
      </c>
      <c r="AC8" s="26" t="n">
        <f aca="false">(M8/$AC$5)*'Equipe Técnica'!$C$13</f>
        <v>217.950164425532</v>
      </c>
      <c r="AD8" s="26" t="n">
        <f aca="false">R8+(($V8+$W8+$X8+$Y8)*12/19)+$Z8</f>
        <v>308.856714117629</v>
      </c>
      <c r="AE8" s="26" t="n">
        <f aca="false">S8+(($V8+$W8+$X8+$Y8)*12/19)+$AA8</f>
        <v>363.171802540453</v>
      </c>
      <c r="AF8" s="26" t="n">
        <f aca="false">T8+(($V8+$W8+$X8+$Y8)*12/19)+$AB8</f>
        <v>336.014258329041</v>
      </c>
      <c r="AG8" s="26" t="n">
        <f aca="false">U8+(($V8+$W8+$X8+$Y8)*12/19)+$AC8</f>
        <v>336.014258329041</v>
      </c>
      <c r="AH8" s="123"/>
      <c r="AI8" s="24" t="str">
        <f aca="false">B8</f>
        <v>APS CAPÃO DO LEÃO</v>
      </c>
      <c r="AJ8" s="69" t="n">
        <f aca="false">VLOOKUP(AI8,Unidades!D$5:H$27,5,)</f>
        <v>0.2707</v>
      </c>
      <c r="AK8" s="48" t="n">
        <f aca="false">AD8*(1+$AJ8)</f>
        <v>392.464226629271</v>
      </c>
      <c r="AL8" s="48" t="n">
        <f aca="false">AE8*(1+$AJ8)</f>
        <v>461.482409488153</v>
      </c>
      <c r="AM8" s="48" t="n">
        <f aca="false">AF8*(1+$AJ8)</f>
        <v>426.973318058712</v>
      </c>
      <c r="AN8" s="48" t="n">
        <f aca="false">AG8*(1+$AJ8)</f>
        <v>426.973318058712</v>
      </c>
      <c r="AO8" s="48" t="n">
        <f aca="false">((AK8*12)+(AL8*4)+(AM8*2)+AN8)/12</f>
        <v>653.035025973333</v>
      </c>
      <c r="AP8" s="48" t="n">
        <f aca="false">AO8*$AP$6</f>
        <v>1721.63779574788</v>
      </c>
      <c r="AQ8" s="48" t="n">
        <f aca="false">AO8+AP8</f>
        <v>2374.67282172121</v>
      </c>
      <c r="AR8" s="70"/>
      <c r="AS8" s="71" t="s">
        <v>84</v>
      </c>
      <c r="AT8" s="48" t="n">
        <f aca="false">AT7*12</f>
        <v>79294.7731274497</v>
      </c>
      <c r="AU8" s="48" t="n">
        <f aca="false">AU7*4</f>
        <v>29307.0752756583</v>
      </c>
      <c r="AV8" s="48" t="n">
        <f aca="false">AV7*2</f>
        <v>13934.6665795354</v>
      </c>
      <c r="AW8" s="48" t="n">
        <f aca="false">AW7</f>
        <v>11720.8157594128</v>
      </c>
    </row>
    <row r="9" customFormat="false" ht="15" hidden="false" customHeight="true" outlineLevel="0" collapsed="false">
      <c r="B9" s="24" t="s">
        <v>134</v>
      </c>
      <c r="C9" s="65" t="n">
        <f aca="false">VLOOKUP($B9,Unidades!$D$5:$N$27,6,FALSE())</f>
        <v>1001.58</v>
      </c>
      <c r="D9" s="65" t="n">
        <f aca="false">VLOOKUP($B9,Unidades!$D$5:$N$27,7,FALSE())</f>
        <v>528.18</v>
      </c>
      <c r="E9" s="65" t="n">
        <f aca="false">VLOOKUP($B9,Unidades!$D$5:$N$27,8,FALSE())</f>
        <v>0</v>
      </c>
      <c r="F9" s="65" t="n">
        <f aca="false">VLOOKUP($B9,Unidades!$D$5:$N$27,9,FALSE())</f>
        <v>1152.36</v>
      </c>
      <c r="G9" s="65" t="n">
        <f aca="false">D9+$E$6*E9+$F$6*F9</f>
        <v>643.416</v>
      </c>
      <c r="H9" s="66" t="n">
        <f aca="false">IF(G9&lt;750,1.5,IF(G9&lt;2000,2,IF(G9&lt;4000,3,12)))</f>
        <v>1.5</v>
      </c>
      <c r="I9" s="66" t="n">
        <f aca="false">$I$6*H9</f>
        <v>1.8</v>
      </c>
      <c r="J9" s="66" t="str">
        <f aca="false">VLOOKUP($B9,Unidades!$D$5:$N$27,10,FALSE())</f>
        <v>NÃO</v>
      </c>
      <c r="K9" s="66" t="str">
        <f aca="false">VLOOKUP($B9,Unidades!$D$5:$N$27,11,FALSE())</f>
        <v>SIM</v>
      </c>
      <c r="L9" s="66" t="n">
        <f aca="false">$L$6*H9+(IF(J9="SIM",$J$6,0))</f>
        <v>1.65</v>
      </c>
      <c r="M9" s="66" t="n">
        <f aca="false">$M$6*H9+(IF(J9="SIM",$J$6,0))+(IF(K9="SIM",$K$6,0))</f>
        <v>5.65</v>
      </c>
      <c r="N9" s="66" t="n">
        <f aca="false">H9*12+I9*4+L9*2+M9</f>
        <v>34.15</v>
      </c>
      <c r="O9" s="67" t="n">
        <f aca="false">IF(K9="não", N9*(C$19+D$19),N9*(C$19+D$19)+(M9*+E$19))</f>
        <v>1858.1836169</v>
      </c>
      <c r="P9" s="68"/>
      <c r="Q9" s="24" t="str">
        <f aca="false">B9</f>
        <v>APS JAGUARÃO</v>
      </c>
      <c r="R9" s="26" t="n">
        <f aca="false">H9*($C$19+$D$19)</f>
        <v>73.438929</v>
      </c>
      <c r="S9" s="26" t="n">
        <f aca="false">I9*($C$19+$D$19)</f>
        <v>88.1267148</v>
      </c>
      <c r="T9" s="26" t="n">
        <f aca="false">L9*($C$19+$D$19)</f>
        <v>80.7828219</v>
      </c>
      <c r="U9" s="26" t="n">
        <f aca="false">IF(K9="não",M9*($C$19+$D$19),M9*(C$19+D$19+E$19))</f>
        <v>462.8439659</v>
      </c>
      <c r="V9" s="26" t="n">
        <f aca="false">VLOOKUP(Q9,'Desl. Base Pelotas'!$C$5:$S$13,13,FALSE())*($C$19+$D$19+$E$19*(VLOOKUP(Q9,'Desl. Base Pelotas'!$C$5:$S$13,17,FALSE())/12))</f>
        <v>178.3855367</v>
      </c>
      <c r="W9" s="26" t="n">
        <f aca="false">VLOOKUP(Q9,'Desl. Base Pelotas'!$C$5:$S$13,15,FALSE())*(2+(VLOOKUP(Q9,'Desl. Base Pelotas'!$C$5:$S$13,17,FALSE())/12))</f>
        <v>0</v>
      </c>
      <c r="X9" s="26" t="n">
        <f aca="false">VLOOKUP(Q9,'Desl. Base Pelotas'!$C$5:$Q$13,14,FALSE())</f>
        <v>0</v>
      </c>
      <c r="Y9" s="26" t="n">
        <f aca="false">VLOOKUP(Q9,'Desl. Base Pelotas'!$C$5:Q$13,13,FALSE())*'Desl. Base Pelotas'!$E$18+'Desl. Base Pelotas'!$E$19*N9/12</f>
        <v>199.759166666667</v>
      </c>
      <c r="Z9" s="26" t="n">
        <f aca="false">(H9/$AC$5)*'Equipe Técnica'!$C$13</f>
        <v>198.13651311412</v>
      </c>
      <c r="AA9" s="26" t="n">
        <f aca="false">(I9/$AC$5)*'Equipe Técnica'!$C$13</f>
        <v>237.763815736944</v>
      </c>
      <c r="AB9" s="26" t="n">
        <f aca="false">(L9/$AC$5)*'Equipe Técnica'!$C$13</f>
        <v>217.950164425532</v>
      </c>
      <c r="AC9" s="26" t="n">
        <f aca="false">(M9/$AC$5)*'Equipe Técnica'!$C$13</f>
        <v>746.314199396518</v>
      </c>
      <c r="AD9" s="26" t="n">
        <f aca="false">R9+(($V9+$W9+$X9+$Y9)*12/19)+$Z9</f>
        <v>510.403675819383</v>
      </c>
      <c r="AE9" s="26" t="n">
        <f aca="false">S9+(($V9+$W9+$X9+$Y9)*12/19)+$AA9</f>
        <v>564.718764242207</v>
      </c>
      <c r="AF9" s="26" t="n">
        <f aca="false">T9+(($V9+$W9+$X9+$Y9)*12/19)+$AB9</f>
        <v>537.561220030795</v>
      </c>
      <c r="AG9" s="26" t="n">
        <f aca="false">U9+(($V9+$W9+$X9+$Y9)*12/19)+$AC9</f>
        <v>1447.98639900178</v>
      </c>
      <c r="AH9" s="123"/>
      <c r="AI9" s="24" t="str">
        <f aca="false">B9</f>
        <v>APS JAGUARÃO</v>
      </c>
      <c r="AJ9" s="69" t="n">
        <f aca="false">VLOOKUP(AI9,Unidades!D$5:H$27,5,)</f>
        <v>0.2707</v>
      </c>
      <c r="AK9" s="48" t="n">
        <f aca="false">AD9*(1+$AJ9)</f>
        <v>648.56995086369</v>
      </c>
      <c r="AL9" s="48" t="n">
        <f aca="false">AE9*(1+$AJ9)</f>
        <v>717.588133722573</v>
      </c>
      <c r="AM9" s="48" t="n">
        <f aca="false">AF9*(1+$AJ9)</f>
        <v>683.079042293131</v>
      </c>
      <c r="AN9" s="48" t="n">
        <f aca="false">AG9*(1+$AJ9)</f>
        <v>1839.95631721156</v>
      </c>
      <c r="AO9" s="48" t="n">
        <f aca="false">((AK9*12)+(AL9*4)+(AM9*2)+AN9)/12</f>
        <v>1154.9421955877</v>
      </c>
      <c r="AP9" s="48" t="n">
        <f aca="false">AO9*$AP$6</f>
        <v>3044.84760654939</v>
      </c>
      <c r="AQ9" s="48" t="n">
        <f aca="false">AO9+AP9</f>
        <v>4199.78980213709</v>
      </c>
      <c r="AR9" s="70"/>
      <c r="AS9" s="70"/>
      <c r="AT9" s="72"/>
      <c r="AU9" s="72"/>
      <c r="AV9" s="72"/>
      <c r="AW9" s="72"/>
    </row>
    <row r="10" customFormat="false" ht="15" hidden="false" customHeight="true" outlineLevel="0" collapsed="false">
      <c r="B10" s="24" t="s">
        <v>135</v>
      </c>
      <c r="C10" s="65" t="n">
        <f aca="false">VLOOKUP($B10,Unidades!$D$5:$N$27,6,FALSE())</f>
        <v>1315.1</v>
      </c>
      <c r="D10" s="65" t="n">
        <f aca="false">VLOOKUP($B10,Unidades!$D$5:$N$27,7,FALSE())</f>
        <v>1195.25</v>
      </c>
      <c r="E10" s="65" t="n">
        <f aca="false">VLOOKUP($B10,Unidades!$D$5:$N$27,8,FALSE())</f>
        <v>119.85</v>
      </c>
      <c r="F10" s="65" t="n">
        <f aca="false">VLOOKUP($B10,Unidades!$D$5:$N$27,9,FALSE())</f>
        <v>0</v>
      </c>
      <c r="G10" s="65" t="n">
        <f aca="false">D10+$E$6*E10+$F$6*F10</f>
        <v>1237.1975</v>
      </c>
      <c r="H10" s="66" t="n">
        <f aca="false">IF(G10&lt;750,1.5,IF(G10&lt;2000,2,IF(G10&lt;4000,3,12)))</f>
        <v>2</v>
      </c>
      <c r="I10" s="66" t="n">
        <f aca="false">$I$6*H10</f>
        <v>2.4</v>
      </c>
      <c r="J10" s="66" t="str">
        <f aca="false">VLOOKUP($B10,Unidades!$D$5:$N$27,10,FALSE())</f>
        <v>NÃO</v>
      </c>
      <c r="K10" s="66" t="str">
        <f aca="false">VLOOKUP($B10,Unidades!$D$5:$N$27,11,FALSE())</f>
        <v>SIM</v>
      </c>
      <c r="L10" s="66" t="n">
        <f aca="false">$L$6*H10+(IF(J10="SIM",$J$6,0))</f>
        <v>2.2</v>
      </c>
      <c r="M10" s="66" t="n">
        <f aca="false">$M$6*H10+(IF(J10="SIM",$J$6,0))+(IF(K10="SIM",$K$6,0))</f>
        <v>6.2</v>
      </c>
      <c r="N10" s="66" t="n">
        <f aca="false">H10*12+I10*4+L10*2+M10</f>
        <v>44.2</v>
      </c>
      <c r="O10" s="67" t="n">
        <f aca="false">IF(K10="não", N10*(C$19+D$19),N10*(C$19+D$19)+(M10*+E$19))</f>
        <v>2368.3524412</v>
      </c>
      <c r="P10" s="68"/>
      <c r="Q10" s="24" t="str">
        <f aca="false">B10</f>
        <v>APS RIO GRANDE</v>
      </c>
      <c r="R10" s="26" t="n">
        <f aca="false">H10*($C$19+$D$19)</f>
        <v>97.918572</v>
      </c>
      <c r="S10" s="26" t="n">
        <f aca="false">I10*($C$19+$D$19)</f>
        <v>117.5022864</v>
      </c>
      <c r="T10" s="26" t="n">
        <f aca="false">L10*($C$19+$D$19)</f>
        <v>107.7104292</v>
      </c>
      <c r="U10" s="26" t="n">
        <f aca="false">IF(K10="não",M10*($C$19+$D$19),M10*(C$19+D$19+E$19))</f>
        <v>507.8995732</v>
      </c>
      <c r="V10" s="26" t="n">
        <f aca="false">VLOOKUP(Q10,'Desl. Base Pelotas'!$C$5:$S$13,13,FALSE())*($C$19+$D$19+$E$19*(VLOOKUP(Q10,'Desl. Base Pelotas'!$C$5:$S$13,17,FALSE())/12))</f>
        <v>100.395724761111</v>
      </c>
      <c r="W10" s="26" t="n">
        <f aca="false">VLOOKUP(Q10,'Desl. Base Pelotas'!$C$5:$S$13,15,FALSE())*(2+(VLOOKUP(Q10,'Desl. Base Pelotas'!$C$5:$S$13,17,FALSE())/12))</f>
        <v>0</v>
      </c>
      <c r="X10" s="26" t="n">
        <f aca="false">VLOOKUP(Q10,'Desl. Base Pelotas'!$C$5:$Q$13,14,FALSE())</f>
        <v>19.6</v>
      </c>
      <c r="Y10" s="26" t="n">
        <f aca="false">VLOOKUP(Q10,'Desl. Base Pelotas'!$C$5:Q$13,13,FALSE())*'Desl. Base Pelotas'!$E$18+'Desl. Base Pelotas'!$E$19*N10/12</f>
        <v>126.08075</v>
      </c>
      <c r="Z10" s="26" t="n">
        <f aca="false">(H10/$AC$5)*'Equipe Técnica'!$C$13</f>
        <v>264.182017485493</v>
      </c>
      <c r="AA10" s="26" t="n">
        <f aca="false">(I10/$AC$5)*'Equipe Técnica'!$C$13</f>
        <v>317.018420982592</v>
      </c>
      <c r="AB10" s="26" t="n">
        <f aca="false">(L10/$AC$5)*'Equipe Técnica'!$C$13</f>
        <v>290.600219234043</v>
      </c>
      <c r="AC10" s="26" t="n">
        <f aca="false">(M10/$AC$5)*'Equipe Técnica'!$C$13</f>
        <v>818.964254205029</v>
      </c>
      <c r="AD10" s="26" t="n">
        <f aca="false">R10+(($V10+$W10+$X10+$Y10)*12/19)+$Z10</f>
        <v>517.517310387248</v>
      </c>
      <c r="AE10" s="26" t="n">
        <f aca="false">S10+(($V10+$W10+$X10+$Y10)*12/19)+$AA10</f>
        <v>589.937428284346</v>
      </c>
      <c r="AF10" s="26" t="n">
        <f aca="false">T10+(($V10+$W10+$X10+$Y10)*12/19)+$AB10</f>
        <v>553.727369335797</v>
      </c>
      <c r="AG10" s="26" t="n">
        <f aca="false">U10+(($V10+$W10+$X10+$Y10)*12/19)+$AC10</f>
        <v>1482.28054830678</v>
      </c>
      <c r="AH10" s="123"/>
      <c r="AI10" s="24" t="str">
        <f aca="false">B10</f>
        <v>APS RIO GRANDE</v>
      </c>
      <c r="AJ10" s="69" t="n">
        <f aca="false">VLOOKUP(AI10,Unidades!D$5:H$27,5,)</f>
        <v>0.2849</v>
      </c>
      <c r="AK10" s="48" t="n">
        <f aca="false">AD10*(1+$AJ10)</f>
        <v>664.957992116574</v>
      </c>
      <c r="AL10" s="48" t="n">
        <f aca="false">AE10*(1+$AJ10)</f>
        <v>758.010601602556</v>
      </c>
      <c r="AM10" s="48" t="n">
        <f aca="false">AF10*(1+$AJ10)</f>
        <v>711.484296859566</v>
      </c>
      <c r="AN10" s="48" t="n">
        <f aca="false">AG10*(1+$AJ10)</f>
        <v>1904.58227651939</v>
      </c>
      <c r="AO10" s="48" t="n">
        <f aca="false">((AK10*12)+(AL10*4)+(AM10*2)+AN10)/12</f>
        <v>1194.92409850397</v>
      </c>
      <c r="AP10" s="48" t="n">
        <f aca="false">AO10*$AP$6</f>
        <v>3150.25444151047</v>
      </c>
      <c r="AQ10" s="48" t="n">
        <f aca="false">AO10+AP10</f>
        <v>4345.17854001443</v>
      </c>
      <c r="AR10" s="70"/>
      <c r="AS10" s="73" t="s">
        <v>72</v>
      </c>
      <c r="AT10" s="48" t="n">
        <f aca="false">(SUM(AT8:AW8))/12</f>
        <v>11188.1108951713</v>
      </c>
      <c r="AU10" s="48"/>
      <c r="AV10" s="72"/>
      <c r="AW10" s="72"/>
    </row>
    <row r="11" customFormat="false" ht="15" hidden="false" customHeight="true" outlineLevel="0" collapsed="false">
      <c r="B11" s="24" t="s">
        <v>136</v>
      </c>
      <c r="C11" s="65" t="n">
        <f aca="false">VLOOKUP($B11,Unidades!$D$5:$N$27,6,FALSE())</f>
        <v>399.57</v>
      </c>
      <c r="D11" s="65" t="n">
        <f aca="false">VLOOKUP($B11,Unidades!$D$5:$N$27,7,FALSE())</f>
        <v>322.16</v>
      </c>
      <c r="E11" s="65" t="n">
        <f aca="false">VLOOKUP($B11,Unidades!$D$5:$N$27,8,FALSE())</f>
        <v>77.41</v>
      </c>
      <c r="F11" s="65" t="n">
        <f aca="false">VLOOKUP($B11,Unidades!$D$5:$N$27,9,FALSE())</f>
        <v>0</v>
      </c>
      <c r="G11" s="65" t="n">
        <f aca="false">D11+$E$6*E11+$F$6*F11</f>
        <v>349.2535</v>
      </c>
      <c r="H11" s="66" t="n">
        <f aca="false">IF(G11&lt;750,1.5,IF(G11&lt;2000,2,IF(G11&lt;4000,3,12)))</f>
        <v>1.5</v>
      </c>
      <c r="I11" s="66" t="n">
        <f aca="false">$I$6*H11</f>
        <v>1.8</v>
      </c>
      <c r="J11" s="66" t="str">
        <f aca="false">VLOOKUP($B11,Unidades!$D$5:$N$27,10,FALSE())</f>
        <v>NÃO</v>
      </c>
      <c r="K11" s="66" t="str">
        <f aca="false">VLOOKUP($B11,Unidades!$D$5:$N$27,11,FALSE())</f>
        <v>NÃO</v>
      </c>
      <c r="L11" s="66" t="n">
        <f aca="false">$L$6*H11+(IF(J11="SIM",$J$6,0))</f>
        <v>1.65</v>
      </c>
      <c r="M11" s="66" t="n">
        <f aca="false">$M$6*H11+(IF(J11="SIM",$J$6,0))+(IF(K11="SIM",$K$6,0))</f>
        <v>1.65</v>
      </c>
      <c r="N11" s="66" t="n">
        <f aca="false">H11*12+I11*4+L11*2+M11</f>
        <v>30.15</v>
      </c>
      <c r="O11" s="67" t="n">
        <f aca="false">IF(K11="não", N11*(C$19+D$19),N11*(C$19+D$19)+(M11*+E$19))</f>
        <v>1476.1224729</v>
      </c>
      <c r="P11" s="68"/>
      <c r="Q11" s="24" t="str">
        <f aca="false">B11</f>
        <v>APS SANTA VITÓRIA DO PALMAR</v>
      </c>
      <c r="R11" s="26" t="n">
        <f aca="false">H11*($C$19+$D$19)</f>
        <v>73.438929</v>
      </c>
      <c r="S11" s="26" t="n">
        <f aca="false">I11*($C$19+$D$19)</f>
        <v>88.1267148</v>
      </c>
      <c r="T11" s="26" t="n">
        <f aca="false">L11*($C$19+$D$19)</f>
        <v>80.7828219</v>
      </c>
      <c r="U11" s="26" t="n">
        <f aca="false">IF(K11="não",M11*($C$19+$D$19),M11*(C$19+D$19+E$19))</f>
        <v>80.7828219</v>
      </c>
      <c r="V11" s="26" t="n">
        <f aca="false">VLOOKUP(Q11,'Desl. Base Pelotas'!$C$5:$S$13,13,FALSE())*($C$19+$D$19+$E$19*(VLOOKUP(Q11,'Desl. Base Pelotas'!$C$5:$S$13,17,FALSE())/12))</f>
        <v>283.9638588</v>
      </c>
      <c r="W11" s="26" t="n">
        <f aca="false">VLOOKUP(Q11,'Desl. Base Pelotas'!$C$5:$S$13,15,FALSE())*(2+(VLOOKUP(Q11,'Desl. Base Pelotas'!$C$5:$S$13,17,FALSE())/12))</f>
        <v>557.6</v>
      </c>
      <c r="X11" s="26" t="n">
        <f aca="false">VLOOKUP(Q11,'Desl. Base Pelotas'!$C$5:$Q$13,14,FALSE())</f>
        <v>39.2</v>
      </c>
      <c r="Y11" s="26" t="n">
        <f aca="false">VLOOKUP(Q11,'Desl. Base Pelotas'!$C$5:Q$13,13,FALSE())*'Desl. Base Pelotas'!$E$18+'Desl. Base Pelotas'!$E$19*N11/12</f>
        <v>320.924</v>
      </c>
      <c r="Z11" s="26" t="n">
        <f aca="false">(H11/$AC$5)*'Equipe Técnica'!$C$13</f>
        <v>198.13651311412</v>
      </c>
      <c r="AA11" s="26" t="n">
        <f aca="false">(I11/$AC$5)*'Equipe Técnica'!$C$13</f>
        <v>237.763815736944</v>
      </c>
      <c r="AB11" s="26" t="n">
        <f aca="false">(L11/$AC$5)*'Equipe Técnica'!$C$13</f>
        <v>217.950164425532</v>
      </c>
      <c r="AC11" s="26" t="n">
        <f aca="false">(M11/$AC$5)*'Equipe Técnica'!$C$13</f>
        <v>217.950164425532</v>
      </c>
      <c r="AD11" s="26" t="n">
        <f aca="false">R11+(($V11+$W11+$X11+$Y11)*12/19)+$Z11</f>
        <v>1030.53619504044</v>
      </c>
      <c r="AE11" s="26" t="n">
        <f aca="false">S11+(($V11+$W11+$X11+$Y11)*12/19)+$AA11</f>
        <v>1084.85128346326</v>
      </c>
      <c r="AF11" s="26" t="n">
        <f aca="false">T11+(($V11+$W11+$X11+$Y11)*12/19)+$AB11</f>
        <v>1057.69373925185</v>
      </c>
      <c r="AG11" s="26" t="n">
        <f aca="false">U11+(($V11+$W11+$X11+$Y11)*12/19)+$AC11</f>
        <v>1057.69373925185</v>
      </c>
      <c r="AH11" s="123"/>
      <c r="AI11" s="24" t="str">
        <f aca="false">B11</f>
        <v>APS SANTA VITÓRIA DO PALMAR</v>
      </c>
      <c r="AJ11" s="69" t="n">
        <f aca="false">VLOOKUP(AI11,Unidades!D$5:H$27,5,)</f>
        <v>0.2849</v>
      </c>
      <c r="AK11" s="48" t="n">
        <f aca="false">AD11*(1+$AJ11)</f>
        <v>1324.13595700746</v>
      </c>
      <c r="AL11" s="48" t="n">
        <f aca="false">AE11*(1+$AJ11)</f>
        <v>1393.92541412194</v>
      </c>
      <c r="AM11" s="48" t="n">
        <f aca="false">AF11*(1+$AJ11)</f>
        <v>1359.0306855647</v>
      </c>
      <c r="AN11" s="48" t="n">
        <f aca="false">AG11*(1+$AJ11)</f>
        <v>1359.0306855647</v>
      </c>
      <c r="AO11" s="48" t="n">
        <f aca="false">((AK11*12)+(AL11*4)+(AM11*2)+AN11)/12</f>
        <v>2128.53543310594</v>
      </c>
      <c r="AP11" s="48" t="n">
        <f aca="false">AO11*$AP$6</f>
        <v>5611.59341455204</v>
      </c>
      <c r="AQ11" s="48" t="n">
        <f aca="false">AO11+AP11</f>
        <v>7740.12884765798</v>
      </c>
      <c r="AR11" s="70"/>
      <c r="AS11" s="73" t="s">
        <v>88</v>
      </c>
      <c r="AT11" s="48" t="n">
        <f aca="false">AT10*12</f>
        <v>134257.330742056</v>
      </c>
      <c r="AU11" s="48"/>
      <c r="AV11" s="72"/>
      <c r="AW11" s="72"/>
    </row>
    <row r="12" customFormat="false" ht="15" hidden="false" customHeight="true" outlineLevel="0" collapsed="false">
      <c r="B12" s="24" t="s">
        <v>137</v>
      </c>
      <c r="C12" s="65" t="n">
        <f aca="false">VLOOKUP($B12,Unidades!$D$5:$N$27,6,FALSE())</f>
        <v>334.4</v>
      </c>
      <c r="D12" s="65" t="n">
        <f aca="false">VLOOKUP($B12,Unidades!$D$5:$N$27,7,FALSE())</f>
        <v>296</v>
      </c>
      <c r="E12" s="65" t="n">
        <f aca="false">VLOOKUP($B12,Unidades!$D$5:$N$27,8,FALSE())</f>
        <v>38.4</v>
      </c>
      <c r="F12" s="65" t="n">
        <f aca="false">VLOOKUP($B12,Unidades!$D$5:$N$27,9,FALSE())</f>
        <v>0</v>
      </c>
      <c r="G12" s="65" t="n">
        <f aca="false">D12+$E$6*E12+$F$6*F12</f>
        <v>309.44</v>
      </c>
      <c r="H12" s="66" t="n">
        <f aca="false">IF(G12&lt;750,1.5,IF(G12&lt;2000,2,IF(G12&lt;4000,3,12)))</f>
        <v>1.5</v>
      </c>
      <c r="I12" s="66" t="n">
        <f aca="false">$I$6*H12</f>
        <v>1.8</v>
      </c>
      <c r="J12" s="66" t="str">
        <f aca="false">VLOOKUP($B12,Unidades!$D$5:$N$27,10,FALSE())</f>
        <v>NÃO</v>
      </c>
      <c r="K12" s="66" t="str">
        <f aca="false">VLOOKUP($B12,Unidades!$D$5:$N$27,11,FALSE())</f>
        <v>NÃO</v>
      </c>
      <c r="L12" s="66" t="n">
        <f aca="false">$L$6*H12+(IF(J12="SIM",$J$6,0))</f>
        <v>1.65</v>
      </c>
      <c r="M12" s="66" t="n">
        <f aca="false">$M$6*H12+(IF(J12="SIM",$J$6,0))+(IF(K12="SIM",$K$6,0))</f>
        <v>1.65</v>
      </c>
      <c r="N12" s="66" t="n">
        <f aca="false">H12*12+I12*4+L12*2+M12</f>
        <v>30.15</v>
      </c>
      <c r="O12" s="67" t="n">
        <f aca="false">IF(K12="não", N12*(C$19+D$19),N12*(C$19+D$19)+(M12*+E$19))</f>
        <v>1476.1224729</v>
      </c>
      <c r="P12" s="68"/>
      <c r="Q12" s="24" t="str">
        <f aca="false">B12</f>
        <v>APS SÃO JOSÉ DO NORTE</v>
      </c>
      <c r="R12" s="26" t="n">
        <f aca="false">H12*($C$19+$D$19)</f>
        <v>73.438929</v>
      </c>
      <c r="S12" s="26" t="n">
        <f aca="false">I12*($C$19+$D$19)</f>
        <v>88.1267148</v>
      </c>
      <c r="T12" s="26" t="n">
        <f aca="false">L12*($C$19+$D$19)</f>
        <v>80.7828219</v>
      </c>
      <c r="U12" s="26" t="n">
        <f aca="false">IF(K12="não",M12*($C$19+$D$19),M12*(C$19+D$19+E$19))</f>
        <v>80.7828219</v>
      </c>
      <c r="V12" s="26" t="n">
        <f aca="false">VLOOKUP(Q12,'Desl. Base Pelotas'!$C$5:$S$13,13,FALSE())*($C$19+$D$19+$E$19*(VLOOKUP(Q12,'Desl. Base Pelotas'!$C$5:$S$13,17,FALSE())/12))</f>
        <v>100.395724761111</v>
      </c>
      <c r="W12" s="26" t="n">
        <f aca="false">VLOOKUP(Q12,'Desl. Base Pelotas'!$C$5:$S$13,15,FALSE())*(2+(VLOOKUP(Q12,'Desl. Base Pelotas'!$C$5:$S$13,17,FALSE())/12))</f>
        <v>0</v>
      </c>
      <c r="X12" s="26" t="n">
        <f aca="false">VLOOKUP(Q12,'Desl. Base Pelotas'!$C$5:$Q$13,14,FALSE())</f>
        <v>19.6</v>
      </c>
      <c r="Y12" s="26" t="n">
        <f aca="false">VLOOKUP(Q12,'Desl. Base Pelotas'!$C$5:Q$13,13,FALSE())*'Desl. Base Pelotas'!$E$18+'Desl. Base Pelotas'!$E$19*N12/12</f>
        <v>118.400083333333</v>
      </c>
      <c r="Z12" s="26" t="n">
        <f aca="false">(H12/$AC$5)*'Equipe Técnica'!$C$13</f>
        <v>198.13651311412</v>
      </c>
      <c r="AA12" s="26" t="n">
        <f aca="false">(I12/$AC$5)*'Equipe Técnica'!$C$13</f>
        <v>237.763815736944</v>
      </c>
      <c r="AB12" s="26" t="n">
        <f aca="false">(L12/$AC$5)*'Equipe Técnica'!$C$13</f>
        <v>217.950164425532</v>
      </c>
      <c r="AC12" s="26" t="n">
        <f aca="false">(M12/$AC$5)*'Equipe Técnica'!$C$13</f>
        <v>217.950164425532</v>
      </c>
      <c r="AD12" s="26" t="n">
        <f aca="false">R12+(($V12+$W12+$X12+$Y12)*12/19)+$Z12</f>
        <v>422.141215647453</v>
      </c>
      <c r="AE12" s="26" t="n">
        <f aca="false">S12+(($V12+$W12+$X12+$Y12)*12/19)+$AA12</f>
        <v>476.456304070277</v>
      </c>
      <c r="AF12" s="26" t="n">
        <f aca="false">T12+(($V12+$W12+$X12+$Y12)*12/19)+$AB12</f>
        <v>449.298759858865</v>
      </c>
      <c r="AG12" s="26" t="n">
        <f aca="false">U12+(($V12+$W12+$X12+$Y12)*12/19)+$AC12</f>
        <v>449.298759858865</v>
      </c>
      <c r="AH12" s="123"/>
      <c r="AI12" s="24" t="str">
        <f aca="false">B12</f>
        <v>APS SÃO JOSÉ DO NORTE</v>
      </c>
      <c r="AJ12" s="69" t="n">
        <f aca="false">VLOOKUP(AI12,Unidades!D$5:H$27,5,)</f>
        <v>0.2994</v>
      </c>
      <c r="AK12" s="48" t="n">
        <f aca="false">AD12*(1+$AJ12)</f>
        <v>548.530295612301</v>
      </c>
      <c r="AL12" s="48" t="n">
        <f aca="false">AE12*(1+$AJ12)</f>
        <v>619.107321508918</v>
      </c>
      <c r="AM12" s="48" t="n">
        <f aca="false">AF12*(1+$AJ12)</f>
        <v>583.81880856061</v>
      </c>
      <c r="AN12" s="48" t="n">
        <f aca="false">AG12*(1+$AJ12)</f>
        <v>583.81880856061</v>
      </c>
      <c r="AO12" s="48" t="n">
        <f aca="false">((AK12*12)+(AL12*4)+(AM12*2)+AN12)/12</f>
        <v>900.854104922093</v>
      </c>
      <c r="AP12" s="48" t="n">
        <f aca="false">AO12*$AP$6</f>
        <v>2374.97900388552</v>
      </c>
      <c r="AQ12" s="48" t="n">
        <f aca="false">AO12+AP12</f>
        <v>3275.83310880761</v>
      </c>
      <c r="AR12" s="70"/>
      <c r="AS12" s="73" t="s">
        <v>73</v>
      </c>
      <c r="AT12" s="48" t="n">
        <f aca="false">AP16</f>
        <v>29495.9287236335</v>
      </c>
      <c r="AU12" s="48"/>
      <c r="AV12" s="70"/>
      <c r="AW12" s="70"/>
    </row>
    <row r="13" customFormat="false" ht="15" hidden="false" customHeight="true" outlineLevel="0" collapsed="false">
      <c r="B13" s="24" t="s">
        <v>138</v>
      </c>
      <c r="C13" s="65" t="n">
        <f aca="false">VLOOKUP($B13,Unidades!$D$5:$N$27,6,FALSE())</f>
        <v>740.65</v>
      </c>
      <c r="D13" s="65" t="n">
        <f aca="false">VLOOKUP($B13,Unidades!$D$5:$N$27,7,FALSE())</f>
        <v>631.06</v>
      </c>
      <c r="E13" s="65" t="n">
        <f aca="false">VLOOKUP($B13,Unidades!$D$5:$N$27,8,FALSE())</f>
        <v>109.59</v>
      </c>
      <c r="F13" s="65" t="n">
        <f aca="false">VLOOKUP($B13,Unidades!$D$5:$N$27,9,FALSE())</f>
        <v>0</v>
      </c>
      <c r="G13" s="65" t="n">
        <f aca="false">D13+$E$6*E13+$F$6*F13</f>
        <v>669.4165</v>
      </c>
      <c r="H13" s="66" t="n">
        <f aca="false">IF(G13&lt;750,1.5,IF(G13&lt;2000,2,IF(G13&lt;4000,3,12)))</f>
        <v>1.5</v>
      </c>
      <c r="I13" s="66" t="n">
        <f aca="false">$I$6*H13</f>
        <v>1.8</v>
      </c>
      <c r="J13" s="66" t="str">
        <f aca="false">VLOOKUP($B13,Unidades!$D$5:$N$27,10,FALSE())</f>
        <v>NÃO</v>
      </c>
      <c r="K13" s="66" t="str">
        <f aca="false">VLOOKUP($B13,Unidades!$D$5:$N$27,11,FALSE())</f>
        <v>NÃO</v>
      </c>
      <c r="L13" s="66" t="n">
        <f aca="false">$L$6*H13+(IF(J13="SIM",$J$6,0))</f>
        <v>1.65</v>
      </c>
      <c r="M13" s="66" t="n">
        <f aca="false">$M$6*H13+(IF(J13="SIM",$J$6,0))+(IF(K13="SIM",$K$6,0))</f>
        <v>1.65</v>
      </c>
      <c r="N13" s="66" t="n">
        <f aca="false">H13*12+I13*4+L13*2+M13</f>
        <v>30.15</v>
      </c>
      <c r="O13" s="67" t="n">
        <f aca="false">IF(K13="não", N13*(C$19+D$19),N13*(C$19+D$19)+(M13*+E$19))</f>
        <v>1476.1224729</v>
      </c>
      <c r="P13" s="68"/>
      <c r="Q13" s="24" t="str">
        <f aca="false">B13</f>
        <v>APS SÃO LOURENÇO DO SUL</v>
      </c>
      <c r="R13" s="26" t="n">
        <f aca="false">H13*($C$19+$D$19)</f>
        <v>73.438929</v>
      </c>
      <c r="S13" s="26" t="n">
        <f aca="false">I13*($C$19+$D$19)</f>
        <v>88.1267148</v>
      </c>
      <c r="T13" s="26" t="n">
        <f aca="false">L13*($C$19+$D$19)</f>
        <v>80.7828219</v>
      </c>
      <c r="U13" s="26" t="n">
        <f aca="false">IF(K13="não",M13*($C$19+$D$19),M13*(C$19+D$19+E$19))</f>
        <v>80.7828219</v>
      </c>
      <c r="V13" s="26" t="n">
        <f aca="false">VLOOKUP(Q13,'Desl. Base Pelotas'!$C$5:$S$13,13,FALSE())*($C$19+$D$19+$E$19*(VLOOKUP(Q13,'Desl. Base Pelotas'!$C$5:$S$13,17,FALSE())/12))</f>
        <v>101.1825244</v>
      </c>
      <c r="W13" s="26" t="n">
        <f aca="false">VLOOKUP(Q13,'Desl. Base Pelotas'!$C$5:$S$13,15,FALSE())*(2+(VLOOKUP(Q13,'Desl. Base Pelotas'!$C$5:$S$13,17,FALSE())/12))</f>
        <v>0</v>
      </c>
      <c r="X13" s="26" t="n">
        <f aca="false">VLOOKUP(Q13,'Desl. Base Pelotas'!$C$5:$Q$13,14,FALSE())</f>
        <v>39.2</v>
      </c>
      <c r="Y13" s="26" t="n">
        <f aca="false">VLOOKUP(Q13,'Desl. Base Pelotas'!$C$5:Q$13,13,FALSE())*'Desl. Base Pelotas'!$E$18+'Desl. Base Pelotas'!$E$19*N13/12</f>
        <v>124.961333333333</v>
      </c>
      <c r="Z13" s="26" t="n">
        <f aca="false">(H13/$AC$5)*'Equipe Técnica'!$C$13</f>
        <v>198.13651311412</v>
      </c>
      <c r="AA13" s="26" t="n">
        <f aca="false">(I13/$AC$5)*'Equipe Técnica'!$C$13</f>
        <v>237.763815736944</v>
      </c>
      <c r="AB13" s="26" t="n">
        <f aca="false">(L13/$AC$5)*'Equipe Técnica'!$C$13</f>
        <v>217.950164425532</v>
      </c>
      <c r="AC13" s="26" t="n">
        <f aca="false">(M13/$AC$5)*'Equipe Técnica'!$C$13</f>
        <v>217.950164425532</v>
      </c>
      <c r="AD13" s="26" t="n">
        <f aca="false">R13+(($V13+$W13+$X13+$Y13)*12/19)+$Z13</f>
        <v>439.161036472015</v>
      </c>
      <c r="AE13" s="26" t="n">
        <f aca="false">S13+(($V13+$W13+$X13+$Y13)*12/19)+$AA13</f>
        <v>493.476124894839</v>
      </c>
      <c r="AF13" s="26" t="n">
        <f aca="false">T13+(($V13+$W13+$X13+$Y13)*12/19)+$AB13</f>
        <v>466.318580683427</v>
      </c>
      <c r="AG13" s="26" t="n">
        <f aca="false">U13+(($V13+$W13+$X13+$Y13)*12/19)+$AC13</f>
        <v>466.318580683427</v>
      </c>
      <c r="AH13" s="123"/>
      <c r="AI13" s="24" t="str">
        <f aca="false">B13</f>
        <v>APS SÃO LOURENÇO DO SUL</v>
      </c>
      <c r="AJ13" s="69" t="n">
        <f aca="false">VLOOKUP(AI13,Unidades!D$5:H$27,5,)</f>
        <v>0.2707</v>
      </c>
      <c r="AK13" s="48" t="n">
        <f aca="false">AD13*(1+$AJ13)</f>
        <v>558.041929044989</v>
      </c>
      <c r="AL13" s="48" t="n">
        <f aca="false">AE13*(1+$AJ13)</f>
        <v>627.060111903871</v>
      </c>
      <c r="AM13" s="48" t="n">
        <f aca="false">AF13*(1+$AJ13)</f>
        <v>592.55102047443</v>
      </c>
      <c r="AN13" s="48" t="n">
        <f aca="false">AG13*(1+$AJ13)</f>
        <v>592.55102047443</v>
      </c>
      <c r="AO13" s="48" t="n">
        <f aca="false">((AK13*12)+(AL13*4)+(AM13*2)+AN13)/12</f>
        <v>915.199721464887</v>
      </c>
      <c r="AP13" s="48" t="n">
        <f aca="false">AO13*$AP$6</f>
        <v>2412.79926568016</v>
      </c>
      <c r="AQ13" s="48" t="n">
        <f aca="false">AO13+AP13</f>
        <v>3327.99898714504</v>
      </c>
      <c r="AR13" s="70"/>
      <c r="AS13" s="73" t="s">
        <v>91</v>
      </c>
      <c r="AT13" s="48" t="n">
        <f aca="false">AT12*12</f>
        <v>353951.144683602</v>
      </c>
      <c r="AU13" s="48"/>
      <c r="AV13" s="72"/>
      <c r="AW13" s="72"/>
    </row>
    <row r="14" customFormat="false" ht="15" hidden="false" customHeight="true" outlineLevel="0" collapsed="false">
      <c r="B14" s="24" t="s">
        <v>139</v>
      </c>
      <c r="C14" s="65" t="n">
        <f aca="false">VLOOKUP($B14,Unidades!$D$5:$N$27,6,FALSE())</f>
        <v>334.4</v>
      </c>
      <c r="D14" s="65" t="n">
        <f aca="false">VLOOKUP($B14,Unidades!$D$5:$N$27,7,FALSE())</f>
        <v>296</v>
      </c>
      <c r="E14" s="65" t="n">
        <f aca="false">VLOOKUP($B14,Unidades!$D$5:$N$27,8,FALSE())</f>
        <v>38.4</v>
      </c>
      <c r="F14" s="65" t="n">
        <f aca="false">VLOOKUP($B14,Unidades!$D$5:$N$27,9,FALSE())</f>
        <v>0</v>
      </c>
      <c r="G14" s="65" t="n">
        <f aca="false">D14+$E$6*E14+$F$6*F14</f>
        <v>309.44</v>
      </c>
      <c r="H14" s="66" t="n">
        <f aca="false">IF(G14&lt;750,1.5,IF(G14&lt;2000,2,IF(G14&lt;4000,3,12)))</f>
        <v>1.5</v>
      </c>
      <c r="I14" s="66" t="n">
        <f aca="false">$I$6*H14</f>
        <v>1.8</v>
      </c>
      <c r="J14" s="66" t="str">
        <f aca="false">VLOOKUP($B14,Unidades!$D$5:$N$27,10,FALSE())</f>
        <v>NÃO</v>
      </c>
      <c r="K14" s="66" t="str">
        <f aca="false">VLOOKUP($B14,Unidades!$D$5:$N$27,11,FALSE())</f>
        <v>NÃO</v>
      </c>
      <c r="L14" s="66" t="n">
        <f aca="false">$L$6*H14+(IF(J14="SIM",$J$6,0))</f>
        <v>1.65</v>
      </c>
      <c r="M14" s="66" t="n">
        <f aca="false">$M$6*H14+(IF(J14="SIM",$J$6,0))+(IF(K14="SIM",$K$6,0))</f>
        <v>1.65</v>
      </c>
      <c r="N14" s="66" t="n">
        <f aca="false">H14*12+I14*4+L14*2+M14</f>
        <v>30.15</v>
      </c>
      <c r="O14" s="67" t="n">
        <f aca="false">IF(K14="não", N14*(C$19+D$19),N14*(C$19+D$19)+(M14*+E$19))</f>
        <v>1476.1224729</v>
      </c>
      <c r="P14" s="68"/>
      <c r="Q14" s="24" t="str">
        <f aca="false">B14</f>
        <v>APS TAPES</v>
      </c>
      <c r="R14" s="26" t="n">
        <f aca="false">H14*($C$19+$D$19)</f>
        <v>73.438929</v>
      </c>
      <c r="S14" s="26" t="n">
        <f aca="false">I14*($C$19+$D$19)</f>
        <v>88.1267148</v>
      </c>
      <c r="T14" s="26" t="n">
        <f aca="false">L14*($C$19+$D$19)</f>
        <v>80.7828219</v>
      </c>
      <c r="U14" s="26" t="n">
        <f aca="false">IF(K14="não",M14*($C$19+$D$19),M14*(C$19+D$19+E$19))</f>
        <v>80.7828219</v>
      </c>
      <c r="V14" s="26" t="n">
        <f aca="false">VLOOKUP(Q14,'Desl. Base Pelotas'!$C$5:$S$13,13,FALSE())*($C$19+$D$19+$E$19*(VLOOKUP(Q14,'Desl. Base Pelotas'!$C$5:$S$13,17,FALSE())/12))</f>
        <v>141.760486894444</v>
      </c>
      <c r="W14" s="26" t="n">
        <f aca="false">VLOOKUP(Q14,'Desl. Base Pelotas'!$C$5:$S$13,15,FALSE())*(2+(VLOOKUP(Q14,'Desl. Base Pelotas'!$C$5:$S$13,17,FALSE())/12))</f>
        <v>290.416666666667</v>
      </c>
      <c r="X14" s="26" t="n">
        <f aca="false">VLOOKUP(Q14,'Desl. Base Pelotas'!$C$5:$Q$13,14,FALSE())</f>
        <v>39.2</v>
      </c>
      <c r="Y14" s="26" t="n">
        <f aca="false">VLOOKUP(Q14,'Desl. Base Pelotas'!$C$5:Q$13,13,FALSE())*'Desl. Base Pelotas'!$E$18+'Desl. Base Pelotas'!$E$19*N14/12</f>
        <v>160.392083333333</v>
      </c>
      <c r="Z14" s="26" t="n">
        <f aca="false">(H14/$AC$5)*'Equipe Técnica'!$C$13</f>
        <v>198.13651311412</v>
      </c>
      <c r="AA14" s="26" t="n">
        <f aca="false">(I14/$AC$5)*'Equipe Técnica'!$C$13</f>
        <v>237.763815736944</v>
      </c>
      <c r="AB14" s="26" t="n">
        <f aca="false">(L14/$AC$5)*'Equipe Técnica'!$C$13</f>
        <v>217.950164425532</v>
      </c>
      <c r="AC14" s="26" t="n">
        <f aca="false">(M14/$AC$5)*'Equipe Técnica'!$C$13</f>
        <v>217.950164425532</v>
      </c>
      <c r="AD14" s="26" t="n">
        <f aca="false">R14+(($V14+$W14+$X14+$Y14)*12/19)+$Z14</f>
        <v>670.587591731664</v>
      </c>
      <c r="AE14" s="26" t="n">
        <f aca="false">S14+(($V14+$W14+$X14+$Y14)*12/19)+$AA14</f>
        <v>724.902680154488</v>
      </c>
      <c r="AF14" s="26" t="n">
        <f aca="false">T14+(($V14+$W14+$X14+$Y14)*12/19)+$AB14</f>
        <v>697.745135943076</v>
      </c>
      <c r="AG14" s="26" t="n">
        <f aca="false">U14+(($V14+$W14+$X14+$Y14)*12/19)+$AC14</f>
        <v>697.745135943076</v>
      </c>
      <c r="AH14" s="123"/>
      <c r="AI14" s="24" t="str">
        <f aca="false">B14</f>
        <v>APS TAPES</v>
      </c>
      <c r="AJ14" s="69" t="n">
        <f aca="false">VLOOKUP(AI14,Unidades!D$5:H$27,5,)</f>
        <v>0.2707</v>
      </c>
      <c r="AK14" s="48" t="n">
        <f aca="false">AD14*(1+$AJ14)</f>
        <v>852.115652813425</v>
      </c>
      <c r="AL14" s="48" t="n">
        <f aca="false">AE14*(1+$AJ14)</f>
        <v>921.133835672307</v>
      </c>
      <c r="AM14" s="48" t="n">
        <f aca="false">AF14*(1+$AJ14)</f>
        <v>886.624744242866</v>
      </c>
      <c r="AN14" s="48" t="n">
        <f aca="false">AG14*(1+$AJ14)</f>
        <v>886.624744242866</v>
      </c>
      <c r="AO14" s="48" t="n">
        <f aca="false">((AK14*12)+(AL14*4)+(AM14*2)+AN14)/12</f>
        <v>1380.81645076491</v>
      </c>
      <c r="AP14" s="48" t="n">
        <f aca="false">AO14*$AP$6</f>
        <v>3640.33427928931</v>
      </c>
      <c r="AQ14" s="48" t="n">
        <f aca="false">AO14+AP14</f>
        <v>5021.15073005422</v>
      </c>
      <c r="AR14" s="70"/>
      <c r="AS14" s="73" t="s">
        <v>74</v>
      </c>
      <c r="AT14" s="48" t="n">
        <f aca="false">AT10+AT12</f>
        <v>40684.0396188049</v>
      </c>
      <c r="AU14" s="48"/>
      <c r="AV14" s="72"/>
      <c r="AW14" s="72"/>
    </row>
    <row r="15" customFormat="false" ht="15" hidden="false" customHeight="true" outlineLevel="0" collapsed="false">
      <c r="B15" s="24" t="s">
        <v>140</v>
      </c>
      <c r="C15" s="65" t="n">
        <f aca="false">VLOOKUP($B15,Unidades!$D$5:$N$27,6,FALSE())</f>
        <v>4965.68</v>
      </c>
      <c r="D15" s="65" t="n">
        <f aca="false">VLOOKUP($B15,Unidades!$D$5:$N$27,7,FALSE())</f>
        <v>3104.81</v>
      </c>
      <c r="E15" s="65" t="n">
        <f aca="false">VLOOKUP($B15,Unidades!$D$5:$N$27,8,FALSE())</f>
        <v>1100.62</v>
      </c>
      <c r="F15" s="65" t="n">
        <f aca="false">VLOOKUP($B15,Unidades!$D$5:$N$27,9,FALSE())</f>
        <v>760.25</v>
      </c>
      <c r="G15" s="65" t="n">
        <f aca="false">D15+$E$6*E15+$F$6*F15</f>
        <v>3566.052</v>
      </c>
      <c r="H15" s="66" t="n">
        <f aca="false">IF(G15&lt;750,1.5,IF(G15&lt;2000,2,IF(G15&lt;4000,3,12)))</f>
        <v>3</v>
      </c>
      <c r="I15" s="66" t="n">
        <f aca="false">$I$6*H15</f>
        <v>3.6</v>
      </c>
      <c r="J15" s="66" t="str">
        <f aca="false">VLOOKUP($B15,Unidades!$D$5:$N$27,10,FALSE())</f>
        <v>NÃO</v>
      </c>
      <c r="K15" s="66" t="str">
        <f aca="false">VLOOKUP($B15,Unidades!$D$5:$N$27,11,FALSE())</f>
        <v>SIM</v>
      </c>
      <c r="L15" s="66" t="n">
        <f aca="false">$L$6*H15+(IF(J15="SIM",$J$6,0))</f>
        <v>3.3</v>
      </c>
      <c r="M15" s="66" t="n">
        <f aca="false">$M$6*H15+(IF(J15="SIM",$J$6,0))+(IF(K15="SIM",$K$6,0))</f>
        <v>7.3</v>
      </c>
      <c r="N15" s="66" t="n">
        <f aca="false">H15*12+I15*4+L15*2+M15</f>
        <v>64.3</v>
      </c>
      <c r="O15" s="67" t="n">
        <f aca="false">IF(K15="não", N15*(C$19+D$19),N15*(C$19+D$19)+(M15*+E$19))</f>
        <v>3388.6900898</v>
      </c>
      <c r="P15" s="68"/>
      <c r="Q15" s="24" t="str">
        <f aca="false">B15</f>
        <v>GEX/APS PELOTAS</v>
      </c>
      <c r="R15" s="26" t="n">
        <f aca="false">H15*($C$19+$D$19)</f>
        <v>146.877858</v>
      </c>
      <c r="S15" s="26" t="n">
        <f aca="false">I15*($C$19+$D$19)</f>
        <v>176.2534296</v>
      </c>
      <c r="T15" s="26" t="n">
        <f aca="false">L15*($C$19+$D$19)</f>
        <v>161.5656438</v>
      </c>
      <c r="U15" s="26" t="n">
        <f aca="false">IF(K15="não",M15*($C$19+$D$19),M15*(C$19+D$19+E$19))</f>
        <v>598.0107878</v>
      </c>
      <c r="V15" s="26" t="n">
        <f aca="false">VLOOKUP(Q15,'Desl. Base Pelotas'!$C$5:$S$13,13,FALSE())*($C$19+$D$19+$E$19*(VLOOKUP(Q15,'Desl. Base Pelotas'!$C$5:$S$13,17,FALSE())/12))</f>
        <v>21.1132640055556</v>
      </c>
      <c r="W15" s="26" t="n">
        <f aca="false">VLOOKUP(Q15,'Desl. Base Pelotas'!$C$5:$S$13,15,FALSE())*(2+(VLOOKUP(Q15,'Desl. Base Pelotas'!$C$5:$S$13,17,FALSE())/12))</f>
        <v>0</v>
      </c>
      <c r="X15" s="26" t="n">
        <f aca="false">VLOOKUP(Q15,'Desl. Base Pelotas'!$C$5:$Q$13,14,FALSE())</f>
        <v>0</v>
      </c>
      <c r="Y15" s="26" t="n">
        <f aca="false">VLOOKUP(Q15,'Desl. Base Pelotas'!$C$5:Q$13,13,FALSE())*'Desl. Base Pelotas'!$E$18+'Desl. Base Pelotas'!$E$19*N15/12</f>
        <v>56.5840833333333</v>
      </c>
      <c r="Z15" s="26" t="n">
        <f aca="false">(H15/$AC$5)*'Equipe Técnica'!$C$13</f>
        <v>396.27302622824</v>
      </c>
      <c r="AA15" s="26" t="n">
        <f aca="false">(I15/$AC$5)*'Equipe Técnica'!$C$13</f>
        <v>475.527631473888</v>
      </c>
      <c r="AB15" s="26" t="n">
        <f aca="false">(L15/$AC$5)*'Equipe Técnica'!$C$13</f>
        <v>435.900328851064</v>
      </c>
      <c r="AC15" s="26" t="n">
        <f aca="false">(M15/$AC$5)*'Equipe Técnica'!$C$13</f>
        <v>964.26436382205</v>
      </c>
      <c r="AD15" s="26" t="n">
        <f aca="false">R15+(($V15+$W15+$X15+$Y15)*12/19)+$Z15</f>
        <v>592.222893073854</v>
      </c>
      <c r="AE15" s="26" t="n">
        <f aca="false">S15+(($V15+$W15+$X15+$Y15)*12/19)+$AA15</f>
        <v>700.853069919502</v>
      </c>
      <c r="AF15" s="26" t="n">
        <f aca="false">T15+(($V15+$W15+$X15+$Y15)*12/19)+$AB15</f>
        <v>646.537981496678</v>
      </c>
      <c r="AG15" s="26" t="n">
        <f aca="false">U15+(($V15+$W15+$X15+$Y15)*12/19)+$AC15</f>
        <v>1611.34716046766</v>
      </c>
      <c r="AH15" s="123"/>
      <c r="AI15" s="24" t="str">
        <f aca="false">B15</f>
        <v>GEX/APS PELOTAS</v>
      </c>
      <c r="AJ15" s="69" t="n">
        <f aca="false">VLOOKUP(AI15,Unidades!D$5:H$27,5,)</f>
        <v>0.2921</v>
      </c>
      <c r="AK15" s="48" t="n">
        <f aca="false">AD15*(1+$AJ15)</f>
        <v>765.211200140727</v>
      </c>
      <c r="AL15" s="48" t="n">
        <f aca="false">AE15*(1+$AJ15)</f>
        <v>905.572251642988</v>
      </c>
      <c r="AM15" s="48" t="n">
        <f aca="false">AF15*(1+$AJ15)</f>
        <v>835.391725891858</v>
      </c>
      <c r="AN15" s="48" t="n">
        <f aca="false">AG15*(1+$AJ15)</f>
        <v>2082.02166604027</v>
      </c>
      <c r="AO15" s="48" t="n">
        <f aca="false">((AK15*12)+(AL15*4)+(AM15*2)+AN15)/12</f>
        <v>1379.80237717372</v>
      </c>
      <c r="AP15" s="48" t="n">
        <f aca="false">AO15*$AP$6</f>
        <v>3637.6608125489</v>
      </c>
      <c r="AQ15" s="48" t="n">
        <f aca="false">AO15+AP15</f>
        <v>5017.46318972262</v>
      </c>
      <c r="AR15" s="70"/>
      <c r="AS15" s="73" t="s">
        <v>94</v>
      </c>
      <c r="AT15" s="48" t="n">
        <f aca="false">AT11+AT13</f>
        <v>488208.475425658</v>
      </c>
      <c r="AU15" s="48"/>
      <c r="AV15" s="70"/>
      <c r="AW15" s="70"/>
    </row>
    <row r="16" s="124" customFormat="true" ht="19.5" hidden="false" customHeight="true" outlineLevel="0" collapsed="false">
      <c r="B16" s="125" t="s">
        <v>100</v>
      </c>
      <c r="C16" s="75" t="n">
        <f aca="false">SUM(C7:C15)</f>
        <v>10437.5</v>
      </c>
      <c r="D16" s="75" t="n">
        <f aca="false">SUM(D7:D15)</f>
        <v>7162.06</v>
      </c>
      <c r="E16" s="75" t="n">
        <f aca="false">SUM(E7:E15)</f>
        <v>2024.49</v>
      </c>
      <c r="F16" s="75" t="n">
        <f aca="false">SUM(F7:F15)</f>
        <v>1929.91</v>
      </c>
      <c r="G16" s="75" t="n">
        <f aca="false">SUM(G7:G15)</f>
        <v>8063.6225</v>
      </c>
      <c r="H16" s="76" t="n">
        <f aca="false">SUM(H7:H15)</f>
        <v>15.5</v>
      </c>
      <c r="I16" s="76" t="n">
        <f aca="false">SUM(I7:I15)</f>
        <v>18.6</v>
      </c>
      <c r="J16" s="76" t="n">
        <f aca="false">COUNTIF(J7:J15,"SIM")</f>
        <v>0</v>
      </c>
      <c r="K16" s="76" t="n">
        <f aca="false">COUNTIF(K7:K15,"SIM")</f>
        <v>4</v>
      </c>
      <c r="L16" s="76" t="n">
        <f aca="false">SUM(L7:L15)</f>
        <v>17.05</v>
      </c>
      <c r="M16" s="76" t="n">
        <f aca="false">SUM(M7:M15)</f>
        <v>33.05</v>
      </c>
      <c r="N16" s="76" t="n">
        <f aca="false">SUM(N7:N15)</f>
        <v>327.55</v>
      </c>
      <c r="O16" s="77" t="n">
        <f aca="false">SUM(O7:O15)</f>
        <v>16854.0221293</v>
      </c>
      <c r="P16" s="126"/>
      <c r="Q16" s="127" t="s">
        <v>100</v>
      </c>
      <c r="R16" s="79" t="n">
        <f aca="false">SUM(R7:R15)</f>
        <v>758.868933</v>
      </c>
      <c r="S16" s="79" t="n">
        <f aca="false">SUM(S7:S15)</f>
        <v>910.6427196</v>
      </c>
      <c r="T16" s="79" t="n">
        <f aca="false">SUM(T7:T15)</f>
        <v>834.7558263</v>
      </c>
      <c r="U16" s="79" t="n">
        <f aca="false">SUM(U7:U15)</f>
        <v>2435.5124023</v>
      </c>
      <c r="V16" s="79" t="n">
        <f aca="false">SUM(V7:V15)</f>
        <v>1090.07087122222</v>
      </c>
      <c r="W16" s="79" t="n">
        <f aca="false">SUM(W7:W15)</f>
        <v>1138.43333333333</v>
      </c>
      <c r="X16" s="79" t="n">
        <f aca="false">SUM(X7:X15)</f>
        <v>196</v>
      </c>
      <c r="Y16" s="79" t="n">
        <f aca="false">SUM(Y7:Y15)</f>
        <v>1307.59566666667</v>
      </c>
      <c r="Z16" s="79" t="n">
        <f aca="false">SUM(Z7:Z15)</f>
        <v>2047.41063551257</v>
      </c>
      <c r="AA16" s="79" t="n">
        <f aca="false">SUM(AA7:AA15)</f>
        <v>2456.89276261509</v>
      </c>
      <c r="AB16" s="79" t="n">
        <f aca="false">SUM(AB7:AB15)</f>
        <v>2252.15169906383</v>
      </c>
      <c r="AC16" s="79" t="n">
        <f aca="false">SUM(AC7:AC15)</f>
        <v>4365.60783894778</v>
      </c>
      <c r="AD16" s="79" t="n">
        <f aca="false">SUM(AD7:AD15)</f>
        <v>5163.39527665292</v>
      </c>
      <c r="AE16" s="79" t="n">
        <f aca="false">SUM(AE7:AE15)</f>
        <v>5724.65119035544</v>
      </c>
      <c r="AF16" s="79" t="n">
        <f aca="false">SUM(AF7:AF15)</f>
        <v>5444.02323350418</v>
      </c>
      <c r="AG16" s="79" t="n">
        <f aca="false">SUM(AG7:AG15)</f>
        <v>9158.23594938813</v>
      </c>
      <c r="AH16" s="41"/>
      <c r="AI16" s="76" t="s">
        <v>100</v>
      </c>
      <c r="AJ16" s="76"/>
      <c r="AK16" s="80" t="n">
        <f aca="false">SUM(AK7:AK15)</f>
        <v>6607.89776062081</v>
      </c>
      <c r="AL16" s="80" t="n">
        <f aca="false">SUM(AL7:AL15)</f>
        <v>7326.76881891456</v>
      </c>
      <c r="AM16" s="80" t="n">
        <f aca="false">SUM(AM7:AM15)</f>
        <v>6967.33328976769</v>
      </c>
      <c r="AN16" s="80" t="n">
        <f aca="false">SUM(AN7:AN15)</f>
        <v>11720.8157594128</v>
      </c>
      <c r="AO16" s="80" t="n">
        <f aca="false">SUM(AO7:AO15)</f>
        <v>11188.1108951713</v>
      </c>
      <c r="AP16" s="80" t="n">
        <f aca="false">SUM(AP7:AP15)</f>
        <v>29495.9287236335</v>
      </c>
      <c r="AQ16" s="80" t="n">
        <f aca="false">SUM(AQ7:AQ15)</f>
        <v>40684.0396188049</v>
      </c>
      <c r="AR16" s="70"/>
      <c r="AS16" s="70"/>
      <c r="AT16" s="70"/>
      <c r="AU16" s="70"/>
      <c r="AV16" s="70"/>
      <c r="AW16" s="70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1"/>
      <c r="I17" s="2"/>
      <c r="J17" s="2"/>
      <c r="O17" s="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D17" s="56"/>
      <c r="AE17" s="56"/>
      <c r="AF17" s="56"/>
      <c r="AG17" s="56"/>
      <c r="AH17" s="56"/>
      <c r="AS17" s="128"/>
      <c r="AT17" s="128"/>
      <c r="AU17" s="128"/>
      <c r="AV17" s="128"/>
      <c r="AW17" s="128"/>
    </row>
    <row r="18" customFormat="false" ht="39.75" hidden="false" customHeight="true" outlineLevel="0" collapsed="false">
      <c r="B18" s="47" t="s">
        <v>30</v>
      </c>
      <c r="C18" s="83" t="str">
        <f aca="false">'Base Porto Alegre'!C23</f>
        <v>Oficial de Manutenção Predial</v>
      </c>
      <c r="D18" s="83" t="str">
        <f aca="false">'Base Porto Alegre'!D23</f>
        <v>Ajudante (ref. SINAPI/88241)</v>
      </c>
      <c r="E18" s="129" t="str">
        <f aca="false">'Base Porto Alegre'!E23</f>
        <v>Eletrotécnico (ref. SINAPI/88266)</v>
      </c>
      <c r="N18" s="130"/>
      <c r="O18" s="131"/>
      <c r="R18" s="84"/>
      <c r="Z18" s="84"/>
      <c r="AA18" s="84"/>
      <c r="AB18" s="84"/>
      <c r="AC18" s="84"/>
    </row>
    <row r="19" customFormat="false" ht="18" hidden="false" customHeight="true" outlineLevel="0" collapsed="false">
      <c r="B19" s="47"/>
      <c r="C19" s="26" t="n">
        <f aca="false">'Base Porto Alegre'!C24</f>
        <v>26.519286</v>
      </c>
      <c r="D19" s="26" t="n">
        <f aca="false">'Base Porto Alegre'!D24</f>
        <v>22.44</v>
      </c>
      <c r="E19" s="26" t="n">
        <f aca="false">'Base Porto Alegre'!E24</f>
        <v>32.96</v>
      </c>
      <c r="N19" s="130"/>
      <c r="O19" s="131"/>
    </row>
    <row r="20" customFormat="false" ht="40.5" hidden="false" customHeight="true" outlineLevel="0" collapsed="false">
      <c r="B20" s="51" t="str">
        <f aca="false">'Base Porto Alegre'!B25</f>
        <v>* Tabela SINAPI Janeiro/2025 (Desonerado)</v>
      </c>
      <c r="N20" s="131"/>
      <c r="O20" s="131"/>
    </row>
    <row r="21" customFormat="false" ht="14.25" hidden="false" customHeight="false" outlineLevel="0" collapsed="false">
      <c r="N21" s="131"/>
      <c r="O21" s="131"/>
    </row>
    <row r="22" customFormat="false" ht="14.25" hidden="false" customHeight="false" outlineLevel="0" collapsed="false">
      <c r="N22" s="131"/>
      <c r="O22" s="131"/>
    </row>
    <row r="23" customFormat="false" ht="15.75" hidden="false" customHeight="true" outlineLevel="0" collapsed="false">
      <c r="N23" s="131"/>
      <c r="O23" s="131"/>
    </row>
    <row r="24" customFormat="false" ht="14.25" hidden="false" customHeight="false" outlineLevel="0" collapsed="false">
      <c r="N24" s="131"/>
      <c r="O24" s="131"/>
    </row>
    <row r="25" customFormat="false" ht="14.25" hidden="false" customHeight="false" outlineLevel="0" collapsed="false">
      <c r="N25" s="131"/>
      <c r="O25" s="131"/>
    </row>
    <row r="26" customFormat="false" ht="14.25" hidden="false" customHeight="false" outlineLevel="0" collapsed="false">
      <c r="N26" s="131"/>
      <c r="O26" s="131"/>
    </row>
    <row r="27" customFormat="false" ht="14.25" hidden="false" customHeight="false" outlineLevel="0" collapsed="false">
      <c r="N27" s="131"/>
      <c r="O27" s="131"/>
    </row>
    <row r="28" customFormat="false" ht="14.25" hidden="false" customHeight="false" outlineLevel="0" collapsed="false">
      <c r="N28" s="131"/>
      <c r="O28" s="131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48"/>
  <sheetViews>
    <sheetView showFormulas="false" showGridLines="fals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B36" activeCellId="0" sqref="B3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6" width="12.62"/>
    <col collapsed="false" customWidth="true" hidden="false" outlineLevel="0" max="3" min="3" style="86" width="32.62"/>
    <col collapsed="false" customWidth="true" hidden="false" outlineLevel="0" max="17" min="4" style="86" width="9.62"/>
    <col collapsed="false" customWidth="true" hidden="false" outlineLevel="0" max="18" min="18" style="86" width="10.75"/>
    <col collapsed="false" customWidth="true" hidden="false" outlineLevel="0" max="19" min="19" style="86" width="13.88"/>
    <col collapsed="false" customWidth="true" hidden="false" outlineLevel="0" max="66" min="20" style="86" width="10.75"/>
    <col collapsed="false" customWidth="true" hidden="false" outlineLevel="0" max="257" min="67" style="85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0" t="str">
        <f aca="false">"DESLOCAMENTO BASE "&amp;Resumo!B6</f>
        <v>DESLOCAMENTO BASE PELOTAS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customFormat="false" ht="15" hidden="false" customHeight="true" outlineLevel="0" collapsed="false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</row>
    <row r="4" customFormat="false" ht="38.25" hidden="false" customHeight="false" outlineLevel="0" collapsed="false">
      <c r="B4" s="23" t="s">
        <v>104</v>
      </c>
      <c r="C4" s="23" t="str">
        <f aca="false">"Rota (saída e retorno "&amp;Resumo!B6&amp;")"</f>
        <v>Rota (saída e retorno PELOTAS)</v>
      </c>
      <c r="D4" s="23" t="s">
        <v>105</v>
      </c>
      <c r="E4" s="23" t="s">
        <v>106</v>
      </c>
      <c r="F4" s="23" t="s">
        <v>107</v>
      </c>
      <c r="G4" s="23" t="s">
        <v>108</v>
      </c>
      <c r="H4" s="23" t="s">
        <v>109</v>
      </c>
      <c r="I4" s="23" t="s">
        <v>110</v>
      </c>
      <c r="J4" s="23" t="s">
        <v>111</v>
      </c>
      <c r="K4" s="23" t="s">
        <v>112</v>
      </c>
      <c r="L4" s="23" t="s">
        <v>113</v>
      </c>
      <c r="M4" s="88" t="s">
        <v>141</v>
      </c>
      <c r="N4" s="23" t="s">
        <v>115</v>
      </c>
      <c r="O4" s="23" t="s">
        <v>116</v>
      </c>
      <c r="P4" s="23" t="s">
        <v>117</v>
      </c>
      <c r="Q4" s="23" t="s">
        <v>67</v>
      </c>
      <c r="R4" s="34" t="s">
        <v>118</v>
      </c>
      <c r="S4" s="34" t="s">
        <v>119</v>
      </c>
    </row>
    <row r="5" customFormat="false" ht="15.75" hidden="false" customHeight="true" outlineLevel="0" collapsed="false">
      <c r="B5" s="89" t="n">
        <v>1</v>
      </c>
      <c r="C5" s="90" t="s">
        <v>140</v>
      </c>
      <c r="D5" s="91" t="n">
        <v>20.1</v>
      </c>
      <c r="E5" s="91" t="n">
        <v>21.1</v>
      </c>
      <c r="F5" s="91" t="n">
        <v>0</v>
      </c>
      <c r="G5" s="92" t="n">
        <f aca="false">SUM(D5:F6)</f>
        <v>41.2</v>
      </c>
      <c r="H5" s="91" t="n">
        <v>24</v>
      </c>
      <c r="I5" s="91" t="n">
        <v>25</v>
      </c>
      <c r="J5" s="91" t="n">
        <v>0</v>
      </c>
      <c r="K5" s="94" t="n">
        <f aca="false">SUM(H5:J6)</f>
        <v>49</v>
      </c>
      <c r="L5" s="95" t="n">
        <f aca="false">K5/60</f>
        <v>0.816666666666667</v>
      </c>
      <c r="M5" s="96" t="n">
        <v>0</v>
      </c>
      <c r="N5" s="94" t="n">
        <v>2</v>
      </c>
      <c r="O5" s="132" t="n">
        <f aca="false">L5/N5</f>
        <v>0.408333333333333</v>
      </c>
      <c r="P5" s="98" t="n">
        <v>0</v>
      </c>
      <c r="Q5" s="98" t="n">
        <v>0</v>
      </c>
      <c r="R5" s="99" t="str">
        <f aca="false">INDEX('Base Pelotas'!$K$7:$K$15,MATCH('Desl. Base Pelotas'!C5,'Base Pelotas'!$B$7:$B$15,0))</f>
        <v>SIM</v>
      </c>
      <c r="S5" s="99" t="n">
        <v>1</v>
      </c>
    </row>
    <row r="6" customFormat="false" ht="15.75" hidden="false" customHeight="true" outlineLevel="0" collapsed="false">
      <c r="B6" s="89"/>
      <c r="C6" s="90" t="s">
        <v>133</v>
      </c>
      <c r="D6" s="91"/>
      <c r="E6" s="91"/>
      <c r="F6" s="91"/>
      <c r="G6" s="92"/>
      <c r="H6" s="91"/>
      <c r="I6" s="91"/>
      <c r="J6" s="91"/>
      <c r="K6" s="94"/>
      <c r="L6" s="95"/>
      <c r="M6" s="96"/>
      <c r="N6" s="94"/>
      <c r="O6" s="132" t="n">
        <f aca="false">O5</f>
        <v>0.408333333333333</v>
      </c>
      <c r="P6" s="98" t="n">
        <v>0</v>
      </c>
      <c r="Q6" s="98" t="n">
        <v>0</v>
      </c>
      <c r="R6" s="99" t="str">
        <f aca="false">INDEX('Base Pelotas'!$K$7:$K$15,MATCH('Desl. Base Pelotas'!C6,'Base Pelotas'!$B$7:$B$15,0))</f>
        <v>NÃO</v>
      </c>
      <c r="S6" s="99" t="n">
        <v>1</v>
      </c>
    </row>
    <row r="7" customFormat="false" ht="15.75" hidden="false" customHeight="true" outlineLevel="0" collapsed="false">
      <c r="B7" s="89" t="n">
        <v>2</v>
      </c>
      <c r="C7" s="90" t="s">
        <v>137</v>
      </c>
      <c r="D7" s="91" t="n">
        <v>75.7</v>
      </c>
      <c r="E7" s="91" t="n">
        <f aca="false">105-D7</f>
        <v>29.3</v>
      </c>
      <c r="F7" s="91" t="n">
        <v>61.5</v>
      </c>
      <c r="G7" s="92" t="n">
        <f aca="false">SUM(D7:F8)</f>
        <v>166.5</v>
      </c>
      <c r="H7" s="91" t="n">
        <v>102</v>
      </c>
      <c r="I7" s="91" t="n">
        <f aca="false">173-H7</f>
        <v>71</v>
      </c>
      <c r="J7" s="91" t="n">
        <v>60</v>
      </c>
      <c r="K7" s="94" t="n">
        <f aca="false">SUM(H7:J8)</f>
        <v>233</v>
      </c>
      <c r="L7" s="95" t="n">
        <f aca="false">K7/60</f>
        <v>3.88333333333333</v>
      </c>
      <c r="M7" s="96" t="n">
        <v>39.2</v>
      </c>
      <c r="N7" s="94" t="n">
        <v>2</v>
      </c>
      <c r="O7" s="132" t="n">
        <f aca="false">L7/N7</f>
        <v>1.94166666666667</v>
      </c>
      <c r="P7" s="133" t="n">
        <f aca="false">M7/N7</f>
        <v>19.6</v>
      </c>
      <c r="Q7" s="98" t="n">
        <v>0</v>
      </c>
      <c r="R7" s="99" t="str">
        <f aca="false">INDEX('Base Pelotas'!$K$7:$K$15,MATCH('Desl. Base Pelotas'!C7,'Base Pelotas'!$B$7:$B$15,0))</f>
        <v>NÃO</v>
      </c>
      <c r="S7" s="99" t="n">
        <v>1</v>
      </c>
    </row>
    <row r="8" customFormat="false" ht="15.75" hidden="false" customHeight="true" outlineLevel="0" collapsed="false">
      <c r="B8" s="89"/>
      <c r="C8" s="90" t="s">
        <v>135</v>
      </c>
      <c r="D8" s="91"/>
      <c r="E8" s="91"/>
      <c r="F8" s="91"/>
      <c r="G8" s="92"/>
      <c r="H8" s="91"/>
      <c r="I8" s="91"/>
      <c r="J8" s="91"/>
      <c r="K8" s="94"/>
      <c r="L8" s="95"/>
      <c r="M8" s="96"/>
      <c r="N8" s="94"/>
      <c r="O8" s="132" t="n">
        <f aca="false">O7</f>
        <v>1.94166666666667</v>
      </c>
      <c r="P8" s="133" t="n">
        <f aca="false">P7</f>
        <v>19.6</v>
      </c>
      <c r="Q8" s="98" t="n">
        <v>0</v>
      </c>
      <c r="R8" s="99" t="str">
        <f aca="false">INDEX('Base Pelotas'!$K$7:$K$15,MATCH('Desl. Base Pelotas'!C8,'Base Pelotas'!$B$7:$B$15,0))</f>
        <v>SIM</v>
      </c>
      <c r="S8" s="99" t="n">
        <v>1</v>
      </c>
    </row>
    <row r="9" customFormat="false" ht="15.75" hidden="false" customHeight="true" outlineLevel="0" collapsed="false">
      <c r="B9" s="89" t="n">
        <v>3</v>
      </c>
      <c r="C9" s="90" t="s">
        <v>132</v>
      </c>
      <c r="D9" s="91" t="n">
        <v>94</v>
      </c>
      <c r="E9" s="91" t="n">
        <f aca="false">150-D9</f>
        <v>56</v>
      </c>
      <c r="F9" s="91" t="n">
        <v>185</v>
      </c>
      <c r="G9" s="92" t="n">
        <f aca="false">SUM(D9:F10)</f>
        <v>335</v>
      </c>
      <c r="H9" s="91" t="n">
        <v>107</v>
      </c>
      <c r="I9" s="91" t="n">
        <v>80</v>
      </c>
      <c r="J9" s="91" t="n">
        <v>142</v>
      </c>
      <c r="K9" s="94" t="n">
        <f aca="false">SUM(H9:J10)</f>
        <v>329</v>
      </c>
      <c r="L9" s="95" t="n">
        <f aca="false">K9/60</f>
        <v>5.48333333333333</v>
      </c>
      <c r="M9" s="96" t="n">
        <v>78.4</v>
      </c>
      <c r="N9" s="94" t="n">
        <v>2</v>
      </c>
      <c r="O9" s="132" t="n">
        <f aca="false">L9/N9</f>
        <v>2.74166666666667</v>
      </c>
      <c r="P9" s="133" t="n">
        <f aca="false">M9/N9</f>
        <v>39.2</v>
      </c>
      <c r="Q9" s="98" t="n">
        <f aca="false">(E34/N9)*2</f>
        <v>139.4</v>
      </c>
      <c r="R9" s="99" t="str">
        <f aca="false">INDEX('Base Pelotas'!$K$7:$K$15,MATCH('Desl. Base Pelotas'!C9,'Base Pelotas'!$B$7:$B$15,0))</f>
        <v>SIM</v>
      </c>
      <c r="S9" s="99" t="n">
        <v>1</v>
      </c>
    </row>
    <row r="10" customFormat="false" ht="15.75" hidden="false" customHeight="true" outlineLevel="0" collapsed="false">
      <c r="B10" s="89"/>
      <c r="C10" s="90" t="s">
        <v>139</v>
      </c>
      <c r="D10" s="91"/>
      <c r="E10" s="91"/>
      <c r="F10" s="91"/>
      <c r="G10" s="92"/>
      <c r="H10" s="91"/>
      <c r="I10" s="91"/>
      <c r="J10" s="91"/>
      <c r="K10" s="94"/>
      <c r="L10" s="95"/>
      <c r="M10" s="96" t="n">
        <v>0</v>
      </c>
      <c r="N10" s="94"/>
      <c r="O10" s="132" t="n">
        <f aca="false">O9</f>
        <v>2.74166666666667</v>
      </c>
      <c r="P10" s="133" t="n">
        <f aca="false">P9</f>
        <v>39.2</v>
      </c>
      <c r="Q10" s="98" t="n">
        <f aca="false">Q9</f>
        <v>139.4</v>
      </c>
      <c r="R10" s="99" t="str">
        <f aca="false">INDEX('Base Pelotas'!$K$7:$K$15,MATCH('Desl. Base Pelotas'!C10,'Base Pelotas'!$B$7:$B$15,0))</f>
        <v>NÃO</v>
      </c>
      <c r="S10" s="99" t="n">
        <v>1</v>
      </c>
    </row>
    <row r="11" customFormat="false" ht="15.75" hidden="false" customHeight="true" outlineLevel="0" collapsed="false">
      <c r="B11" s="89" t="n">
        <v>4</v>
      </c>
      <c r="C11" s="134" t="s">
        <v>134</v>
      </c>
      <c r="D11" s="91" t="n">
        <v>141</v>
      </c>
      <c r="E11" s="91" t="n">
        <v>142</v>
      </c>
      <c r="F11" s="91" t="n">
        <v>0</v>
      </c>
      <c r="G11" s="92" t="n">
        <f aca="false">SUM(D11:F11)</f>
        <v>283</v>
      </c>
      <c r="H11" s="91" t="n">
        <v>100</v>
      </c>
      <c r="I11" s="91" t="n">
        <v>107</v>
      </c>
      <c r="J11" s="91" t="n">
        <v>0</v>
      </c>
      <c r="K11" s="94" t="n">
        <f aca="false">SUM(H11:J11)</f>
        <v>207</v>
      </c>
      <c r="L11" s="135" t="n">
        <f aca="false">K11/60</f>
        <v>3.45</v>
      </c>
      <c r="M11" s="96" t="n">
        <v>0</v>
      </c>
      <c r="N11" s="94" t="n">
        <v>1</v>
      </c>
      <c r="O11" s="132" t="n">
        <f aca="false">L11/N11</f>
        <v>3.45</v>
      </c>
      <c r="P11" s="133" t="n">
        <f aca="false">M11/N11</f>
        <v>0</v>
      </c>
      <c r="Q11" s="98" t="n">
        <v>0</v>
      </c>
      <c r="R11" s="99" t="str">
        <f aca="false">INDEX('Base Pelotas'!$K$7:$K$15,MATCH('Desl. Base Pelotas'!C11,'Base Pelotas'!$B$7:$B$15,0))</f>
        <v>SIM</v>
      </c>
      <c r="S11" s="99" t="n">
        <v>1</v>
      </c>
    </row>
    <row r="12" customFormat="false" ht="15.75" hidden="false" customHeight="true" outlineLevel="0" collapsed="false">
      <c r="B12" s="89" t="n">
        <v>5</v>
      </c>
      <c r="C12" s="136" t="s">
        <v>136</v>
      </c>
      <c r="D12" s="91" t="n">
        <v>240</v>
      </c>
      <c r="E12" s="91" t="n">
        <v>241</v>
      </c>
      <c r="F12" s="91" t="n">
        <v>0</v>
      </c>
      <c r="G12" s="92" t="n">
        <f aca="false">SUM(D12:F12)</f>
        <v>481</v>
      </c>
      <c r="H12" s="91" t="n">
        <v>173</v>
      </c>
      <c r="I12" s="91" t="n">
        <v>175</v>
      </c>
      <c r="J12" s="91" t="n">
        <v>0</v>
      </c>
      <c r="K12" s="94" t="n">
        <f aca="false">SUM(H12:J12)</f>
        <v>348</v>
      </c>
      <c r="L12" s="135" t="n">
        <f aca="false">K12/60</f>
        <v>5.8</v>
      </c>
      <c r="M12" s="96" t="n">
        <v>39.2</v>
      </c>
      <c r="N12" s="94" t="n">
        <v>1</v>
      </c>
      <c r="O12" s="132" t="n">
        <f aca="false">L12/N12</f>
        <v>5.8</v>
      </c>
      <c r="P12" s="133" t="n">
        <f aca="false">M12/N12</f>
        <v>39.2</v>
      </c>
      <c r="Q12" s="98" t="n">
        <f aca="false">E34*2</f>
        <v>278.8</v>
      </c>
      <c r="R12" s="99" t="str">
        <f aca="false">INDEX('Base Pelotas'!$K$7:$K$15,MATCH('Desl. Base Pelotas'!C12,'Base Pelotas'!$B$7:$B$15,0))</f>
        <v>NÃO</v>
      </c>
      <c r="S12" s="99" t="n">
        <v>0</v>
      </c>
    </row>
    <row r="13" customFormat="false" ht="15.75" hidden="false" customHeight="true" outlineLevel="0" collapsed="false">
      <c r="B13" s="89" t="n">
        <v>6</v>
      </c>
      <c r="C13" s="90" t="s">
        <v>138</v>
      </c>
      <c r="D13" s="91" t="n">
        <v>73.8</v>
      </c>
      <c r="E13" s="91" t="n">
        <v>74.5</v>
      </c>
      <c r="F13" s="91" t="n">
        <v>0</v>
      </c>
      <c r="G13" s="92" t="n">
        <f aca="false">SUM(D13:F13)</f>
        <v>148.3</v>
      </c>
      <c r="H13" s="91" t="n">
        <v>62</v>
      </c>
      <c r="I13" s="91" t="n">
        <v>62</v>
      </c>
      <c r="J13" s="91" t="n">
        <v>0</v>
      </c>
      <c r="K13" s="94" t="n">
        <f aca="false">SUM(H13:J13)</f>
        <v>124</v>
      </c>
      <c r="L13" s="135" t="n">
        <f aca="false">K13/60</f>
        <v>2.06666666666667</v>
      </c>
      <c r="M13" s="96" t="n">
        <v>39.2</v>
      </c>
      <c r="N13" s="94" t="n">
        <v>1</v>
      </c>
      <c r="O13" s="132" t="n">
        <f aca="false">L13/N13</f>
        <v>2.06666666666667</v>
      </c>
      <c r="P13" s="133" t="n">
        <f aca="false">M13/N13</f>
        <v>39.2</v>
      </c>
      <c r="Q13" s="98" t="n">
        <v>0</v>
      </c>
      <c r="R13" s="99" t="str">
        <f aca="false">INDEX('Base Pelotas'!$K$7:$K$15,MATCH('Desl. Base Pelotas'!C13,'Base Pelotas'!$B$7:$B$15,0))</f>
        <v>NÃO</v>
      </c>
      <c r="S13" s="99" t="n">
        <v>0</v>
      </c>
    </row>
    <row r="14" customFormat="false" ht="21" hidden="false" customHeight="true" outlineLevel="0" collapsed="false">
      <c r="B14" s="100" t="s">
        <v>100</v>
      </c>
      <c r="C14" s="100"/>
      <c r="D14" s="100"/>
      <c r="E14" s="100"/>
      <c r="F14" s="100"/>
      <c r="G14" s="102" t="n">
        <f aca="false">SUM(G5:G13)</f>
        <v>1455</v>
      </c>
      <c r="H14" s="102" t="s">
        <v>100</v>
      </c>
      <c r="I14" s="102"/>
      <c r="J14" s="102"/>
      <c r="K14" s="102" t="n">
        <f aca="false">SUM(K5:K13)</f>
        <v>1290</v>
      </c>
      <c r="L14" s="102" t="n">
        <f aca="false">SUM(L5:L13)</f>
        <v>21.5</v>
      </c>
      <c r="M14" s="105" t="n">
        <f aca="false">SUM(M5:M13)</f>
        <v>196</v>
      </c>
      <c r="N14" s="103" t="n">
        <f aca="false">SUM(N5:N13)</f>
        <v>9</v>
      </c>
      <c r="O14" s="102"/>
      <c r="P14" s="105"/>
      <c r="Q14" s="105" t="n">
        <f aca="false">SUM(Q5:Q13)</f>
        <v>557.6</v>
      </c>
      <c r="R14" s="105"/>
      <c r="S14" s="105"/>
    </row>
    <row r="15" customFormat="false" ht="15.75" hidden="false" customHeight="true" outlineLevel="0" collapsed="false">
      <c r="B15" s="107"/>
      <c r="C15" s="107"/>
      <c r="D15" s="107"/>
      <c r="E15" s="107"/>
      <c r="F15" s="85"/>
      <c r="G15" s="85"/>
      <c r="H15" s="85"/>
      <c r="I15" s="85"/>
      <c r="J15" s="85"/>
      <c r="K15" s="85"/>
      <c r="L15" s="85"/>
      <c r="M15" s="85"/>
      <c r="N15" s="85"/>
    </row>
    <row r="16" customFormat="false" ht="18.75" hidden="false" customHeight="true" outlineLevel="0" collapsed="false">
      <c r="B16" s="108" t="s">
        <v>120</v>
      </c>
      <c r="C16" s="108"/>
      <c r="D16" s="108"/>
      <c r="E16" s="108"/>
      <c r="F16" s="107"/>
      <c r="G16" s="107"/>
      <c r="H16" s="107"/>
      <c r="I16" s="107"/>
      <c r="J16" s="107"/>
      <c r="K16" s="107"/>
      <c r="L16" s="107"/>
      <c r="M16" s="107"/>
      <c r="N16" s="107"/>
    </row>
    <row r="17" customFormat="false" ht="18.75" hidden="false" customHeight="true" outlineLevel="0" collapsed="false">
      <c r="B17" s="99" t="s">
        <v>121</v>
      </c>
      <c r="C17" s="99" t="s">
        <v>122</v>
      </c>
      <c r="D17" s="99" t="s">
        <v>123</v>
      </c>
      <c r="E17" s="99" t="s">
        <v>124</v>
      </c>
      <c r="F17" s="107"/>
      <c r="G17" s="109"/>
      <c r="H17" s="109"/>
      <c r="I17" s="107"/>
      <c r="J17" s="107"/>
      <c r="K17" s="107"/>
      <c r="L17" s="107"/>
      <c r="M17" s="107"/>
      <c r="N17" s="107"/>
    </row>
    <row r="18" customFormat="false" ht="18.75" hidden="false" customHeight="true" outlineLevel="0" collapsed="false">
      <c r="B18" s="50" t="s">
        <v>125</v>
      </c>
      <c r="C18" s="111" t="s">
        <v>126</v>
      </c>
      <c r="D18" s="50" t="s">
        <v>127</v>
      </c>
      <c r="E18" s="112" t="n">
        <f aca="false">'Desl. Base Porto Alegre'!E23</f>
        <v>52.49</v>
      </c>
      <c r="F18" s="107"/>
      <c r="G18" s="113"/>
      <c r="H18" s="113"/>
      <c r="I18" s="107"/>
      <c r="J18" s="107"/>
      <c r="K18" s="137"/>
      <c r="L18" s="137"/>
    </row>
    <row r="19" customFormat="false" ht="18.75" hidden="false" customHeight="true" outlineLevel="0" collapsed="false">
      <c r="B19" s="114" t="s">
        <v>128</v>
      </c>
      <c r="C19" s="115" t="s">
        <v>126</v>
      </c>
      <c r="D19" s="114" t="s">
        <v>129</v>
      </c>
      <c r="E19" s="116" t="n">
        <f aca="false">'Desl. Base Porto Alegre'!E24</f>
        <v>6.56</v>
      </c>
      <c r="F19" s="107"/>
      <c r="G19" s="113"/>
      <c r="H19" s="113"/>
      <c r="I19" s="107"/>
      <c r="J19" s="107"/>
      <c r="K19" s="137"/>
      <c r="L19" s="137"/>
    </row>
    <row r="20" customFormat="false" ht="47.25" hidden="false" customHeight="true" outlineLevel="0" collapsed="false">
      <c r="B20" s="117" t="s">
        <v>130</v>
      </c>
      <c r="C20" s="117"/>
      <c r="D20" s="117"/>
      <c r="E20" s="117"/>
      <c r="F20" s="118"/>
      <c r="G20" s="118"/>
      <c r="H20" s="118"/>
      <c r="I20" s="118"/>
      <c r="J20" s="118"/>
      <c r="K20" s="118"/>
      <c r="L20" s="137"/>
    </row>
    <row r="21" customFormat="false" ht="18.75" hidden="false" customHeight="true" outlineLevel="0" collapsed="false">
      <c r="B21" s="119"/>
      <c r="C21" s="119"/>
      <c r="D21" s="119"/>
      <c r="E21" s="119"/>
      <c r="F21" s="118"/>
      <c r="G21" s="118"/>
      <c r="H21" s="118"/>
      <c r="I21" s="118"/>
      <c r="J21" s="118"/>
      <c r="K21" s="118"/>
      <c r="L21" s="137"/>
    </row>
    <row r="22" customFormat="false" ht="15.75" hidden="false" customHeight="true" outlineLevel="0" collapsed="false">
      <c r="B22" s="108" t="s">
        <v>131</v>
      </c>
      <c r="C22" s="108"/>
      <c r="D22" s="107"/>
      <c r="E22" s="107"/>
      <c r="F22" s="107"/>
      <c r="G22" s="107"/>
      <c r="H22" s="107"/>
      <c r="I22" s="107"/>
      <c r="J22" s="107"/>
      <c r="K22" s="107"/>
      <c r="L22" s="107"/>
    </row>
    <row r="23" customFormat="false" ht="15.75" hidden="false" customHeight="true" outlineLevel="0" collapsed="false">
      <c r="B23" s="138" t="s">
        <v>127</v>
      </c>
      <c r="C23" s="139" t="n">
        <f aca="false">E18*L14</f>
        <v>1128.535</v>
      </c>
      <c r="D23" s="107"/>
      <c r="E23" s="107"/>
      <c r="F23" s="107"/>
      <c r="G23" s="107"/>
      <c r="H23" s="107"/>
      <c r="I23" s="107"/>
      <c r="J23" s="107"/>
    </row>
    <row r="24" customFormat="false" ht="15.75" hidden="false" customHeight="true" outlineLevel="0" collapsed="false">
      <c r="B24" s="50" t="s">
        <v>129</v>
      </c>
      <c r="C24" s="112" t="n">
        <f aca="false">E19*('Base Pelotas'!N16/12)</f>
        <v>179.060666666667</v>
      </c>
      <c r="D24" s="107"/>
      <c r="E24" s="107"/>
      <c r="F24" s="107"/>
      <c r="G24" s="107"/>
      <c r="H24" s="107"/>
      <c r="I24" s="107"/>
      <c r="J24" s="107"/>
    </row>
    <row r="25" customFormat="false" ht="15.75" hidden="false" customHeight="true" outlineLevel="0" collapsed="false">
      <c r="B25" s="120" t="s">
        <v>28</v>
      </c>
      <c r="C25" s="121" t="n">
        <f aca="false">C23+C24</f>
        <v>1307.59566666667</v>
      </c>
      <c r="D25" s="107"/>
      <c r="E25" s="107"/>
      <c r="F25" s="107"/>
      <c r="G25" s="107"/>
      <c r="H25" s="107"/>
      <c r="I25" s="85"/>
      <c r="J25" s="85"/>
    </row>
    <row r="26" customFormat="false" ht="15.75" hidden="false" customHeight="true" outlineLevel="0" collapsed="false">
      <c r="B26" s="140"/>
      <c r="C26" s="140"/>
      <c r="D26" s="107"/>
      <c r="H26" s="85"/>
      <c r="I26" s="85"/>
    </row>
    <row r="27" customFormat="false" ht="15.75" hidden="false" customHeight="true" outlineLevel="0" collapsed="false">
      <c r="B27" s="141" t="s">
        <v>142</v>
      </c>
      <c r="C27" s="141"/>
      <c r="D27" s="107"/>
      <c r="H27" s="85"/>
      <c r="I27" s="85"/>
    </row>
    <row r="28" customFormat="false" ht="15.75" hidden="false" customHeight="true" outlineLevel="0" collapsed="false">
      <c r="B28" s="99" t="s">
        <v>124</v>
      </c>
      <c r="C28" s="142" t="n">
        <f aca="false">SUM(M5:M13)</f>
        <v>196</v>
      </c>
      <c r="I28" s="107"/>
    </row>
    <row r="29" customFormat="false" ht="14.25" hidden="false" customHeight="false" outlineLevel="0" collapsed="false">
      <c r="B29" s="85"/>
      <c r="C29" s="85"/>
      <c r="D29" s="85"/>
    </row>
    <row r="30" customFormat="false" ht="14.25" hidden="false" customHeight="false" outlineLevel="0" collapsed="false">
      <c r="B30" s="143" t="s">
        <v>143</v>
      </c>
      <c r="C30" s="144"/>
      <c r="D30" s="85"/>
    </row>
    <row r="31" customFormat="false" ht="14.25" hidden="false" customHeight="false" outlineLevel="0" collapsed="false">
      <c r="B31" s="113"/>
      <c r="C31" s="107"/>
      <c r="D31" s="107"/>
    </row>
    <row r="32" customFormat="false" ht="14.25" hidden="false" customHeight="false" outlineLevel="0" collapsed="false">
      <c r="B32" s="145" t="s">
        <v>67</v>
      </c>
      <c r="C32" s="145"/>
      <c r="D32" s="145"/>
      <c r="E32" s="145"/>
    </row>
    <row r="33" customFormat="false" ht="14.25" hidden="false" customHeight="false" outlineLevel="0" collapsed="false">
      <c r="B33" s="99" t="s">
        <v>144</v>
      </c>
      <c r="C33" s="99" t="s">
        <v>122</v>
      </c>
      <c r="D33" s="99" t="s">
        <v>123</v>
      </c>
      <c r="E33" s="99" t="s">
        <v>124</v>
      </c>
    </row>
    <row r="34" customFormat="false" ht="29.25" hidden="false" customHeight="true" outlineLevel="0" collapsed="false">
      <c r="B34" s="114" t="s">
        <v>145</v>
      </c>
      <c r="C34" s="146" t="s">
        <v>146</v>
      </c>
      <c r="D34" s="114" t="s">
        <v>147</v>
      </c>
      <c r="E34" s="147" t="n">
        <v>139.4</v>
      </c>
    </row>
    <row r="35" customFormat="false" ht="23.25" hidden="false" customHeight="true" outlineLevel="0" collapsed="false">
      <c r="B35" s="148" t="s">
        <v>148</v>
      </c>
      <c r="C35" s="148"/>
      <c r="D35" s="148"/>
      <c r="E35" s="148"/>
    </row>
    <row r="36" customFormat="false" ht="14.25" hidden="false" customHeight="false" outlineLevel="0" collapsed="false">
      <c r="B36" s="149"/>
      <c r="C36" s="85"/>
      <c r="D36" s="85"/>
    </row>
    <row r="37" customFormat="false" ht="14.25" hidden="false" customHeight="false" outlineLevel="0" collapsed="false">
      <c r="B37" s="140"/>
      <c r="C37" s="107"/>
      <c r="D37" s="107"/>
    </row>
    <row r="38" customFormat="false" ht="14.25" hidden="false" customHeight="false" outlineLevel="0" collapsed="false">
      <c r="B38" s="107"/>
      <c r="C38" s="107"/>
      <c r="D38" s="113"/>
    </row>
    <row r="39" customFormat="false" ht="14.25" hidden="false" customHeight="false" outlineLevel="0" collapsed="false">
      <c r="B39" s="107"/>
      <c r="C39" s="107"/>
      <c r="D39" s="113"/>
    </row>
    <row r="40" customFormat="false" ht="14.25" hidden="false" customHeight="false" outlineLevel="0" collapsed="false">
      <c r="B40" s="140"/>
      <c r="C40" s="107"/>
      <c r="D40" s="150"/>
    </row>
    <row r="41" customFormat="false" ht="14.25" hidden="false" customHeight="false" outlineLevel="0" collapsed="false">
      <c r="B41" s="85"/>
      <c r="C41" s="85"/>
      <c r="D41" s="85"/>
    </row>
    <row r="42" customFormat="false" ht="14.25" hidden="false" customHeight="false" outlineLevel="0" collapsed="false">
      <c r="B42" s="151"/>
      <c r="C42" s="85"/>
      <c r="D42" s="85"/>
    </row>
    <row r="43" customFormat="false" ht="14.25" hidden="false" customHeight="false" outlineLevel="0" collapsed="false">
      <c r="B43" s="113"/>
      <c r="C43" s="107"/>
      <c r="D43" s="107"/>
    </row>
    <row r="44" customFormat="false" ht="14.25" hidden="false" customHeight="false" outlineLevel="0" collapsed="false">
      <c r="B44" s="140"/>
      <c r="C44" s="107"/>
      <c r="D44" s="107"/>
    </row>
    <row r="45" customFormat="false" ht="14.25" hidden="false" customHeight="false" outlineLevel="0" collapsed="false">
      <c r="B45" s="107"/>
      <c r="C45" s="107"/>
      <c r="D45" s="113"/>
    </row>
    <row r="46" customFormat="false" ht="14.25" hidden="false" customHeight="false" outlineLevel="0" collapsed="false">
      <c r="B46" s="107"/>
      <c r="C46" s="107"/>
      <c r="D46" s="113"/>
    </row>
    <row r="47" customFormat="false" ht="14.25" hidden="false" customHeight="false" outlineLevel="0" collapsed="false">
      <c r="B47" s="107"/>
      <c r="C47" s="107"/>
      <c r="D47" s="113"/>
    </row>
    <row r="48" customFormat="false" ht="14.25" hidden="false" customHeight="false" outlineLevel="0" collapsed="false">
      <c r="B48" s="140"/>
      <c r="C48" s="107"/>
      <c r="D48" s="150"/>
    </row>
  </sheetData>
  <mergeCells count="4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4:F14"/>
    <mergeCell ref="H14:J14"/>
    <mergeCell ref="B16:E16"/>
    <mergeCell ref="B20:E20"/>
    <mergeCell ref="B22:C22"/>
    <mergeCell ref="B27:C27"/>
    <mergeCell ref="B32:E32"/>
    <mergeCell ref="B35:E35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H30" activeCellId="0" sqref="H30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2" t="s">
        <v>149</v>
      </c>
      <c r="C2" s="152"/>
      <c r="D2" s="152"/>
      <c r="E2" s="152"/>
      <c r="F2" s="152"/>
      <c r="G2" s="152"/>
      <c r="H2" s="152"/>
      <c r="I2" s="152"/>
    </row>
    <row r="3" customFormat="false" ht="21" hidden="false" customHeight="true" outlineLevel="0" collapsed="false"/>
    <row r="4" customFormat="false" ht="16.5" hidden="false" customHeight="true" outlineLevel="0" collapsed="false">
      <c r="B4" s="153" t="s">
        <v>150</v>
      </c>
      <c r="C4" s="153"/>
      <c r="D4" s="153"/>
      <c r="E4" s="153"/>
      <c r="F4" s="153"/>
      <c r="G4" s="153"/>
      <c r="H4" s="153"/>
      <c r="I4" s="153"/>
    </row>
    <row r="5" customFormat="false" ht="16.5" hidden="false" customHeight="true" outlineLevel="0" collapsed="false">
      <c r="B5" s="154" t="s">
        <v>151</v>
      </c>
      <c r="C5" s="154"/>
      <c r="D5" s="155" t="s">
        <v>152</v>
      </c>
      <c r="E5" s="155"/>
      <c r="F5" s="155"/>
      <c r="G5" s="155"/>
      <c r="H5" s="155"/>
      <c r="I5" s="155"/>
    </row>
    <row r="6" customFormat="false" ht="16.5" hidden="false" customHeight="true" outlineLevel="0" collapsed="false">
      <c r="B6" s="154" t="s">
        <v>122</v>
      </c>
      <c r="C6" s="154"/>
      <c r="D6" s="155" t="s">
        <v>153</v>
      </c>
      <c r="E6" s="155"/>
      <c r="F6" s="155"/>
      <c r="G6" s="155"/>
      <c r="H6" s="155"/>
      <c r="I6" s="155"/>
    </row>
    <row r="7" customFormat="false" ht="16.5" hidden="false" customHeight="true" outlineLevel="0" collapsed="false">
      <c r="B7" s="154" t="s">
        <v>154</v>
      </c>
      <c r="C7" s="154"/>
      <c r="D7" s="156" t="s">
        <v>155</v>
      </c>
      <c r="E7" s="156"/>
      <c r="F7" s="156"/>
      <c r="G7" s="156"/>
      <c r="H7" s="156"/>
      <c r="I7" s="156"/>
    </row>
    <row r="8" customFormat="false" ht="16.5" hidden="false" customHeight="true" outlineLevel="0" collapsed="false">
      <c r="B8" s="154" t="s">
        <v>156</v>
      </c>
      <c r="C8" s="154"/>
      <c r="D8" s="155" t="s">
        <v>157</v>
      </c>
      <c r="E8" s="155"/>
      <c r="F8" s="155"/>
      <c r="G8" s="155"/>
      <c r="H8" s="155"/>
      <c r="I8" s="155"/>
    </row>
    <row r="9" customFormat="false" ht="16.5" hidden="false" customHeight="true" outlineLevel="0" collapsed="false">
      <c r="B9" s="154" t="s">
        <v>158</v>
      </c>
      <c r="C9" s="154"/>
      <c r="D9" s="155" t="s">
        <v>159</v>
      </c>
      <c r="E9" s="155"/>
      <c r="F9" s="155"/>
      <c r="G9" s="155"/>
      <c r="H9" s="155"/>
      <c r="I9" s="155"/>
    </row>
    <row r="10" customFormat="false" ht="16.5" hidden="false" customHeight="true" outlineLevel="0" collapsed="false">
      <c r="B10" s="154" t="s">
        <v>123</v>
      </c>
      <c r="C10" s="154"/>
      <c r="D10" s="155" t="s">
        <v>127</v>
      </c>
      <c r="E10" s="155"/>
      <c r="F10" s="155"/>
      <c r="G10" s="155"/>
      <c r="H10" s="155"/>
      <c r="I10" s="155"/>
    </row>
    <row r="11" customFormat="false" ht="23.25" hidden="false" customHeight="true" outlineLevel="0" collapsed="false">
      <c r="B11" s="157" t="s">
        <v>160</v>
      </c>
      <c r="C11" s="157"/>
      <c r="D11" s="158" t="n">
        <f aca="false">SUM(I14:I18)</f>
        <v>52.49</v>
      </c>
      <c r="E11" s="158"/>
      <c r="F11" s="158"/>
      <c r="G11" s="158"/>
      <c r="H11" s="158"/>
      <c r="I11" s="158"/>
    </row>
    <row r="12" customFormat="false" ht="15.75" hidden="false" customHeight="true" outlineLevel="0" collapsed="false">
      <c r="B12" s="159"/>
      <c r="C12" s="159"/>
      <c r="D12" s="160"/>
      <c r="E12" s="160"/>
      <c r="F12" s="160"/>
      <c r="G12" s="160"/>
      <c r="H12" s="160"/>
      <c r="I12" s="160"/>
    </row>
    <row r="13" customFormat="false" ht="29.25" hidden="false" customHeight="true" outlineLevel="0" collapsed="false">
      <c r="B13" s="161"/>
      <c r="C13" s="161" t="s">
        <v>161</v>
      </c>
      <c r="D13" s="161" t="s">
        <v>122</v>
      </c>
      <c r="E13" s="161" t="s">
        <v>158</v>
      </c>
      <c r="F13" s="161" t="s">
        <v>123</v>
      </c>
      <c r="G13" s="162" t="s">
        <v>160</v>
      </c>
      <c r="H13" s="161" t="s">
        <v>162</v>
      </c>
      <c r="I13" s="162" t="s">
        <v>160</v>
      </c>
    </row>
    <row r="14" customFormat="false" ht="27.75" hidden="false" customHeight="true" outlineLevel="0" collapsed="false">
      <c r="B14" s="163" t="s">
        <v>163</v>
      </c>
      <c r="C14" s="163" t="s">
        <v>164</v>
      </c>
      <c r="D14" s="164" t="s">
        <v>165</v>
      </c>
      <c r="E14" s="164" t="s">
        <v>159</v>
      </c>
      <c r="F14" s="163" t="s">
        <v>166</v>
      </c>
      <c r="G14" s="165" t="n">
        <v>4.58</v>
      </c>
      <c r="H14" s="165" t="n">
        <v>1</v>
      </c>
      <c r="I14" s="165" t="n">
        <f aca="false">G14*H14</f>
        <v>4.58</v>
      </c>
    </row>
    <row r="15" customFormat="false" ht="27.75" hidden="false" customHeight="true" outlineLevel="0" collapsed="false">
      <c r="B15" s="163" t="s">
        <v>163</v>
      </c>
      <c r="C15" s="163" t="s">
        <v>167</v>
      </c>
      <c r="D15" s="164" t="s">
        <v>168</v>
      </c>
      <c r="E15" s="164" t="s">
        <v>159</v>
      </c>
      <c r="F15" s="163" t="s">
        <v>166</v>
      </c>
      <c r="G15" s="165" t="n">
        <v>1.41</v>
      </c>
      <c r="H15" s="165" t="n">
        <v>1</v>
      </c>
      <c r="I15" s="165" t="n">
        <f aca="false">G15*H15</f>
        <v>1.41</v>
      </c>
    </row>
    <row r="16" customFormat="false" ht="42" hidden="false" customHeight="true" outlineLevel="0" collapsed="false">
      <c r="B16" s="163" t="s">
        <v>163</v>
      </c>
      <c r="C16" s="163" t="s">
        <v>169</v>
      </c>
      <c r="D16" s="164" t="s">
        <v>170</v>
      </c>
      <c r="E16" s="164" t="s">
        <v>159</v>
      </c>
      <c r="F16" s="163" t="s">
        <v>166</v>
      </c>
      <c r="G16" s="165" t="n">
        <v>0.57</v>
      </c>
      <c r="H16" s="165" t="n">
        <v>1</v>
      </c>
      <c r="I16" s="165" t="n">
        <f aca="false">G16*H16</f>
        <v>0.57</v>
      </c>
    </row>
    <row r="17" customFormat="false" ht="27.75" hidden="false" customHeight="true" outlineLevel="0" collapsed="false">
      <c r="B17" s="163" t="s">
        <v>163</v>
      </c>
      <c r="C17" s="163" t="s">
        <v>171</v>
      </c>
      <c r="D17" s="164" t="s">
        <v>172</v>
      </c>
      <c r="E17" s="164" t="s">
        <v>159</v>
      </c>
      <c r="F17" s="163" t="s">
        <v>166</v>
      </c>
      <c r="G17" s="165" t="n">
        <v>5.73</v>
      </c>
      <c r="H17" s="165" t="n">
        <v>1</v>
      </c>
      <c r="I17" s="165" t="n">
        <f aca="false">G17*H17</f>
        <v>5.73</v>
      </c>
    </row>
    <row r="18" customFormat="false" ht="42" hidden="false" customHeight="true" outlineLevel="0" collapsed="false">
      <c r="B18" s="163" t="s">
        <v>163</v>
      </c>
      <c r="C18" s="163" t="s">
        <v>173</v>
      </c>
      <c r="D18" s="164" t="s">
        <v>174</v>
      </c>
      <c r="E18" s="164" t="s">
        <v>159</v>
      </c>
      <c r="F18" s="163" t="s">
        <v>166</v>
      </c>
      <c r="G18" s="165" t="n">
        <v>40.2</v>
      </c>
      <c r="H18" s="165" t="n">
        <v>1</v>
      </c>
      <c r="I18" s="165" t="n">
        <f aca="false">G18*H18</f>
        <v>40.2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2" t="s">
        <v>175</v>
      </c>
      <c r="C20" s="152"/>
      <c r="D20" s="152"/>
      <c r="E20" s="152"/>
      <c r="F20" s="152"/>
      <c r="G20" s="152"/>
      <c r="H20" s="152"/>
      <c r="I20" s="152"/>
    </row>
    <row r="21" customFormat="false" ht="16.5" hidden="false" customHeight="true" outlineLevel="0" collapsed="false">
      <c r="B21" s="157" t="s">
        <v>151</v>
      </c>
      <c r="C21" s="157"/>
      <c r="D21" s="166" t="s">
        <v>176</v>
      </c>
      <c r="E21" s="166"/>
      <c r="F21" s="166"/>
      <c r="G21" s="166"/>
      <c r="H21" s="166"/>
      <c r="I21" s="166"/>
    </row>
    <row r="22" customFormat="false" ht="16.5" hidden="false" customHeight="true" outlineLevel="0" collapsed="false">
      <c r="B22" s="157" t="s">
        <v>122</v>
      </c>
      <c r="C22" s="157"/>
      <c r="D22" s="166" t="s">
        <v>177</v>
      </c>
      <c r="E22" s="166"/>
      <c r="F22" s="166"/>
      <c r="G22" s="166"/>
      <c r="H22" s="166"/>
      <c r="I22" s="166"/>
    </row>
    <row r="23" customFormat="false" ht="16.5" hidden="false" customHeight="true" outlineLevel="0" collapsed="false">
      <c r="B23" s="157" t="s">
        <v>154</v>
      </c>
      <c r="C23" s="157"/>
      <c r="D23" s="167" t="str">
        <f aca="false">D7</f>
        <v>01/2025</v>
      </c>
      <c r="E23" s="167"/>
      <c r="F23" s="167"/>
      <c r="G23" s="167"/>
      <c r="H23" s="167"/>
      <c r="I23" s="167"/>
    </row>
    <row r="24" customFormat="false" ht="16.5" hidden="false" customHeight="true" outlineLevel="0" collapsed="false">
      <c r="B24" s="157" t="s">
        <v>156</v>
      </c>
      <c r="C24" s="157"/>
      <c r="D24" s="166" t="str">
        <f aca="false">D8</f>
        <v>Rio Grande do Sul</v>
      </c>
      <c r="E24" s="166"/>
      <c r="F24" s="166"/>
      <c r="G24" s="166"/>
      <c r="H24" s="166"/>
      <c r="I24" s="166"/>
    </row>
    <row r="25" customFormat="false" ht="16.5" hidden="false" customHeight="true" outlineLevel="0" collapsed="false">
      <c r="B25" s="157" t="s">
        <v>158</v>
      </c>
      <c r="C25" s="157"/>
      <c r="D25" s="166" t="s">
        <v>159</v>
      </c>
      <c r="E25" s="166"/>
      <c r="F25" s="166"/>
      <c r="G25" s="166"/>
      <c r="H25" s="166"/>
      <c r="I25" s="166"/>
    </row>
    <row r="26" customFormat="false" ht="16.5" hidden="false" customHeight="true" outlineLevel="0" collapsed="false">
      <c r="B26" s="157" t="s">
        <v>123</v>
      </c>
      <c r="C26" s="157"/>
      <c r="D26" s="166" t="s">
        <v>129</v>
      </c>
      <c r="E26" s="166"/>
      <c r="F26" s="166"/>
      <c r="G26" s="166"/>
      <c r="H26" s="166"/>
      <c r="I26" s="166"/>
    </row>
    <row r="27" customFormat="false" ht="23.25" hidden="false" customHeight="true" outlineLevel="0" collapsed="false">
      <c r="B27" s="157" t="s">
        <v>160</v>
      </c>
      <c r="C27" s="157"/>
      <c r="D27" s="168" t="n">
        <f aca="false">SUM(I30:I32)</f>
        <v>6.56</v>
      </c>
      <c r="E27" s="168"/>
      <c r="F27" s="168"/>
      <c r="G27" s="168"/>
      <c r="H27" s="168"/>
      <c r="I27" s="168"/>
    </row>
    <row r="28" customFormat="false" ht="15.75" hidden="false" customHeight="true" outlineLevel="0" collapsed="false">
      <c r="B28" s="159"/>
      <c r="C28" s="159"/>
      <c r="D28" s="160"/>
      <c r="E28" s="160"/>
      <c r="F28" s="160"/>
      <c r="G28" s="160"/>
      <c r="H28" s="160"/>
      <c r="I28" s="160"/>
    </row>
    <row r="29" customFormat="false" ht="29.25" hidden="false" customHeight="true" outlineLevel="0" collapsed="false">
      <c r="B29" s="161"/>
      <c r="C29" s="161" t="s">
        <v>161</v>
      </c>
      <c r="D29" s="161" t="s">
        <v>122</v>
      </c>
      <c r="E29" s="161" t="s">
        <v>158</v>
      </c>
      <c r="F29" s="161" t="s">
        <v>123</v>
      </c>
      <c r="G29" s="162" t="s">
        <v>160</v>
      </c>
      <c r="H29" s="161" t="s">
        <v>162</v>
      </c>
      <c r="I29" s="162" t="s">
        <v>160</v>
      </c>
    </row>
    <row r="30" customFormat="false" ht="27.75" hidden="false" customHeight="true" outlineLevel="0" collapsed="false">
      <c r="B30" s="163" t="s">
        <v>163</v>
      </c>
      <c r="C30" s="163" t="s">
        <v>164</v>
      </c>
      <c r="D30" s="164" t="s">
        <v>165</v>
      </c>
      <c r="E30" s="164" t="s">
        <v>159</v>
      </c>
      <c r="F30" s="163" t="s">
        <v>166</v>
      </c>
      <c r="G30" s="165" t="n">
        <f aca="false">G14</f>
        <v>4.58</v>
      </c>
      <c r="H30" s="165" t="n">
        <v>1</v>
      </c>
      <c r="I30" s="165" t="n">
        <f aca="false">G30*H30</f>
        <v>4.58</v>
      </c>
    </row>
    <row r="31" customFormat="false" ht="27.75" hidden="false" customHeight="true" outlineLevel="0" collapsed="false">
      <c r="B31" s="163" t="s">
        <v>163</v>
      </c>
      <c r="C31" s="163" t="s">
        <v>167</v>
      </c>
      <c r="D31" s="164" t="s">
        <v>168</v>
      </c>
      <c r="E31" s="164" t="s">
        <v>159</v>
      </c>
      <c r="F31" s="163" t="s">
        <v>166</v>
      </c>
      <c r="G31" s="165" t="n">
        <f aca="false">G15</f>
        <v>1.41</v>
      </c>
      <c r="H31" s="165" t="n">
        <v>1</v>
      </c>
      <c r="I31" s="165" t="n">
        <f aca="false">G31*H31</f>
        <v>1.41</v>
      </c>
    </row>
    <row r="32" customFormat="false" ht="42" hidden="false" customHeight="true" outlineLevel="0" collapsed="false">
      <c r="B32" s="163" t="s">
        <v>163</v>
      </c>
      <c r="C32" s="163" t="s">
        <v>169</v>
      </c>
      <c r="D32" s="164" t="s">
        <v>170</v>
      </c>
      <c r="E32" s="164" t="s">
        <v>159</v>
      </c>
      <c r="F32" s="163" t="s">
        <v>166</v>
      </c>
      <c r="G32" s="165" t="n">
        <f aca="false">G16</f>
        <v>0.57</v>
      </c>
      <c r="H32" s="165" t="n">
        <v>1</v>
      </c>
      <c r="I32" s="165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6" activeCellId="0" sqref="B16"/>
    </sheetView>
  </sheetViews>
  <sheetFormatPr defaultColWidth="10.125" defaultRowHeight="12.75" zeroHeight="false" outlineLevelRow="0" outlineLevelCol="0"/>
  <cols>
    <col collapsed="false" customWidth="true" hidden="false" outlineLevel="0" max="1" min="1" style="169" width="5"/>
    <col collapsed="false" customWidth="true" hidden="false" outlineLevel="0" max="2" min="2" style="169" width="33.62"/>
    <col collapsed="false" customWidth="true" hidden="false" outlineLevel="0" max="3" min="3" style="169" width="27.76"/>
    <col collapsed="false" customWidth="true" hidden="false" outlineLevel="0" max="4" min="4" style="169" width="15"/>
    <col collapsed="false" customWidth="true" hidden="false" outlineLevel="0" max="5" min="5" style="169" width="7.5"/>
    <col collapsed="false" customWidth="false" hidden="false" outlineLevel="0" max="16384" min="6" style="169" width="10.12"/>
  </cols>
  <sheetData>
    <row r="1" customFormat="false" ht="15" hidden="false" customHeight="true" outlineLevel="0" collapsed="false"/>
    <row r="2" customFormat="false" ht="15" hidden="false" customHeight="true" outlineLevel="0" collapsed="false">
      <c r="C2" s="170" t="s">
        <v>178</v>
      </c>
    </row>
    <row r="3" customFormat="false" ht="15" hidden="false" customHeight="true" outlineLevel="0" collapsed="false">
      <c r="B3" s="171" t="s">
        <v>179</v>
      </c>
      <c r="C3" s="170" t="s">
        <v>180</v>
      </c>
    </row>
    <row r="4" customFormat="false" ht="15" hidden="false" customHeight="true" outlineLevel="0" collapsed="false">
      <c r="B4" s="171" t="s">
        <v>181</v>
      </c>
      <c r="C4" s="172" t="s">
        <v>182</v>
      </c>
    </row>
    <row r="5" customFormat="false" ht="15" hidden="false" customHeight="true" outlineLevel="0" collapsed="false">
      <c r="B5" s="171" t="s">
        <v>183</v>
      </c>
      <c r="C5" s="172" t="n">
        <v>45658</v>
      </c>
    </row>
    <row r="6" customFormat="false" ht="15" hidden="false" customHeight="true" outlineLevel="0" collapsed="false">
      <c r="B6" s="171" t="s">
        <v>184</v>
      </c>
      <c r="C6" s="173" t="n">
        <v>78.48</v>
      </c>
    </row>
    <row r="7" customFormat="false" ht="12.75" hidden="false" customHeight="false" outlineLevel="0" collapsed="false">
      <c r="B7" s="174"/>
      <c r="C7" s="175"/>
    </row>
    <row r="8" customFormat="false" ht="27.75" hidden="false" customHeight="true" outlineLevel="0" collapsed="false">
      <c r="B8" s="176" t="s">
        <v>185</v>
      </c>
      <c r="C8" s="177" t="s">
        <v>186</v>
      </c>
    </row>
    <row r="9" customFormat="false" ht="15" hidden="false" customHeight="true" outlineLevel="0" collapsed="false">
      <c r="B9" s="171" t="s">
        <v>187</v>
      </c>
      <c r="C9" s="178" t="n">
        <v>0.9022</v>
      </c>
    </row>
    <row r="10" customFormat="false" ht="15" hidden="false" customHeight="true" outlineLevel="0" collapsed="false">
      <c r="B10" s="171" t="s">
        <v>188</v>
      </c>
      <c r="C10" s="178" t="n">
        <v>1.1284</v>
      </c>
    </row>
    <row r="11" customFormat="false" ht="13.5" hidden="false" customHeight="true" outlineLevel="0" collapsed="false">
      <c r="B11" s="174"/>
      <c r="C11" s="174"/>
    </row>
    <row r="12" customFormat="false" ht="15" hidden="false" customHeight="true" outlineLevel="0" collapsed="false">
      <c r="B12" s="179" t="s">
        <v>189</v>
      </c>
      <c r="C12" s="180"/>
    </row>
    <row r="13" customFormat="false" ht="15" hidden="false" customHeight="true" outlineLevel="0" collapsed="false">
      <c r="B13" s="181" t="s">
        <v>190</v>
      </c>
      <c r="C13" s="182" t="n">
        <f aca="false">C6*(1+C9)</f>
        <v>149.284656</v>
      </c>
      <c r="D13" s="183"/>
      <c r="F13" s="184"/>
    </row>
    <row r="14" customFormat="false" ht="15" hidden="false" customHeight="true" outlineLevel="0" collapsed="false">
      <c r="B14" s="181" t="s">
        <v>191</v>
      </c>
      <c r="C14" s="182" t="n">
        <f aca="false">C6*(1+C10)</f>
        <v>167.036832</v>
      </c>
      <c r="D14" s="183"/>
      <c r="F14" s="184"/>
    </row>
    <row r="16" customFormat="false" ht="40.5" hidden="false" customHeight="true" outlineLevel="0" collapsed="false">
      <c r="B16" s="185" t="s">
        <v>192</v>
      </c>
      <c r="C16" s="185"/>
    </row>
  </sheetData>
  <mergeCells count="1">
    <mergeCell ref="B16:C1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010A742-F84D-483B-AA20-9B6707B03D60}"/>
</file>

<file path=customXml/itemProps2.xml><?xml version="1.0" encoding="utf-8"?>
<ds:datastoreItem xmlns:ds="http://schemas.openxmlformats.org/officeDocument/2006/customXml" ds:itemID="{83919BCB-AF97-42B0-AC41-8E8B83F8FAB6}"/>
</file>

<file path=customXml/itemProps3.xml><?xml version="1.0" encoding="utf-8"?>
<ds:datastoreItem xmlns:ds="http://schemas.openxmlformats.org/officeDocument/2006/customXml" ds:itemID="{484F205B-A8C0-40C2-B397-01BB57E31A2C}"/>
</file>

<file path=customXml/itemProps4.xml><?xml version="1.0" encoding="utf-8"?>
<ds:datastoreItem xmlns:ds="http://schemas.openxmlformats.org/officeDocument/2006/customXml" ds:itemID="{C96417F5-949F-4F9A-835C-EA838C38DF91}"/>
</file>

<file path=customXml/itemProps5.xml><?xml version="1.0" encoding="utf-8"?>
<ds:datastoreItem xmlns:ds="http://schemas.openxmlformats.org/officeDocument/2006/customXml" ds:itemID="{464407B0-C582-4B05-B853-7FC844C96551}"/>
</file>

<file path=customXml/itemProps6.xml><?xml version="1.0" encoding="utf-8"?>
<ds:datastoreItem xmlns:ds="http://schemas.openxmlformats.org/officeDocument/2006/customXml" ds:itemID="{C2570A48-FFFF-4B60-B358-124188E9887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40</cp:revision>
  <dcterms:created xsi:type="dcterms:W3CDTF">2022-02-01T12:05:24Z</dcterms:created>
  <dcterms:modified xsi:type="dcterms:W3CDTF">2025-04-04T11:02:46Z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